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720" activeTab="0"/>
  </bookViews>
  <sheets>
    <sheet name="Rekapitulace stavby" sheetId="1" r:id="rId1"/>
    <sheet name="E 1 - Vyklizení objektu, ..." sheetId="2" r:id="rId2"/>
    <sheet name="E 2 - Sanace betonové kon..." sheetId="3" r:id="rId3"/>
    <sheet name="E 3 - Vyzdění severního p..." sheetId="4" r:id="rId4"/>
    <sheet name="E 4 - Oddělení bourané a ..." sheetId="5" r:id="rId5"/>
    <sheet name="E 5 - Dozdívky a vybourán..." sheetId="6" r:id="rId6"/>
    <sheet name="E 6 - Provedení střechy p..." sheetId="7" r:id="rId7"/>
    <sheet name="E 7 - Vybourání stávající..." sheetId="8" r:id="rId8"/>
    <sheet name="E 8 - Provedení otvoru pr..." sheetId="9" r:id="rId9"/>
    <sheet name="E 9 - Hrubá stavba nové d..." sheetId="10" r:id="rId10"/>
    <sheet name="E10 - Vybourání dispozice..." sheetId="11" r:id="rId11"/>
    <sheet name="E11 - Hrubá stavba nové d..." sheetId="12" r:id="rId12"/>
    <sheet name="E12 - Osazení výplní pláš..." sheetId="13" r:id="rId13"/>
    <sheet name="E13 - Oprava a stavební ú..." sheetId="14" r:id="rId14"/>
    <sheet name="E14 - Dokončovací práce -..." sheetId="15" r:id="rId15"/>
    <sheet name="E15 - Vyrovnání terénu po..." sheetId="16" r:id="rId16"/>
    <sheet name="SO 2 - UT" sheetId="17" r:id="rId17"/>
    <sheet name="UT" sheetId="24" r:id="rId18"/>
    <sheet name="SO 3 - elektroinstalace" sheetId="18" r:id="rId19"/>
    <sheet name="elektro" sheetId="23" r:id="rId20"/>
    <sheet name="SO 4 - ZTI" sheetId="19" r:id="rId21"/>
    <sheet name="SO 5 - VZT" sheetId="20" r:id="rId22"/>
    <sheet name="VZT" sheetId="25" r:id="rId23"/>
    <sheet name="VON - vedlejší a ostatní ..." sheetId="21" r:id="rId24"/>
    <sheet name="Pokyny pro vyplnění" sheetId="22" r:id="rId25"/>
  </sheets>
  <definedNames>
    <definedName name="_xlnm._FilterDatabase" localSheetId="1" hidden="1">'E 1 - Vyklizení objektu, ...'!$C$87:$K$176</definedName>
    <definedName name="_xlnm._FilterDatabase" localSheetId="2" hidden="1">'E 2 - Sanace betonové kon...'!$C$85:$K$266</definedName>
    <definedName name="_xlnm._FilterDatabase" localSheetId="3" hidden="1">'E 3 - Vyzdění severního p...'!$C$88:$K$300</definedName>
    <definedName name="_xlnm._FilterDatabase" localSheetId="4" hidden="1">'E 4 - Oddělení bourané a ...'!$C$86:$K$205</definedName>
    <definedName name="_xlnm._FilterDatabase" localSheetId="5" hidden="1">'E 5 - Dozdívky a vybourán...'!$C$91:$K$543</definedName>
    <definedName name="_xlnm._FilterDatabase" localSheetId="6" hidden="1">'E 6 - Provedení střechy p...'!$C$90:$K$249</definedName>
    <definedName name="_xlnm._FilterDatabase" localSheetId="7" hidden="1">'E 7 - Vybourání stávající...'!$C$85:$K$238</definedName>
    <definedName name="_xlnm._FilterDatabase" localSheetId="8" hidden="1">'E 8 - Provedení otvoru pr...'!$C$88:$K$234</definedName>
    <definedName name="_xlnm._FilterDatabase" localSheetId="9" hidden="1">'E 9 - Hrubá stavba nové d...'!$C$84:$K$190</definedName>
    <definedName name="_xlnm._FilterDatabase" localSheetId="10" hidden="1">'E10 - Vybourání dispozice...'!$C$86:$K$299</definedName>
    <definedName name="_xlnm._FilterDatabase" localSheetId="11" hidden="1">'E11 - Hrubá stavba nové d...'!$C$90:$K$374</definedName>
    <definedName name="_xlnm._FilterDatabase" localSheetId="12" hidden="1">'E12 - Osazení výplní pláš...'!$C$87:$K$321</definedName>
    <definedName name="_xlnm._FilterDatabase" localSheetId="13" hidden="1">'E13 - Oprava a stavební ú...'!$C$98:$K$891</definedName>
    <definedName name="_xlnm._FilterDatabase" localSheetId="14" hidden="1">'E14 - Dokončovací práce -...'!$C$98:$K$707</definedName>
    <definedName name="_xlnm._FilterDatabase" localSheetId="15" hidden="1">'E15 - Vyrovnání terénu po...'!$C$83:$K$163</definedName>
    <definedName name="_xlnm._FilterDatabase" localSheetId="16" hidden="1">'SO 2 - UT'!$C$81:$K$100</definedName>
    <definedName name="_xlnm._FilterDatabase" localSheetId="18" hidden="1">'SO 3 - elektroinstalace'!$C$81:$K$96</definedName>
    <definedName name="_xlnm._FilterDatabase" localSheetId="20" hidden="1">'SO 4 - ZTI'!$C$92:$K$445</definedName>
    <definedName name="_xlnm._FilterDatabase" localSheetId="21" hidden="1">'SO 5 - VZT'!$C$81:$K$96</definedName>
    <definedName name="_xlnm._FilterDatabase" localSheetId="23" hidden="1">'VON - vedlejší a ostatní ...'!$C$81:$K$103</definedName>
    <definedName name="_xlnm.Print_Area" localSheetId="1">'E 1 - Vyklizení objektu, ...'!$C$4:$J$39,'E 1 - Vyklizení objektu, ...'!$C$45:$J$69,'E 1 - Vyklizení objektu, ...'!$C$75:$K$176</definedName>
    <definedName name="_xlnm.Print_Area" localSheetId="2">'E 2 - Sanace betonové kon...'!$C$4:$J$39,'E 2 - Sanace betonové kon...'!$C$45:$J$67,'E 2 - Sanace betonové kon...'!$C$73:$K$266</definedName>
    <definedName name="_xlnm.Print_Area" localSheetId="3">'E 3 - Vyzdění severního p...'!$C$4:$J$39,'E 3 - Vyzdění severního p...'!$C$45:$J$70,'E 3 - Vyzdění severního p...'!$C$76:$K$300</definedName>
    <definedName name="_xlnm.Print_Area" localSheetId="4">'E 4 - Oddělení bourané a ...'!$C$4:$J$39,'E 4 - Oddělení bourané a ...'!$C$45:$J$68,'E 4 - Oddělení bourané a ...'!$C$74:$K$205</definedName>
    <definedName name="_xlnm.Print_Area" localSheetId="5">'E 5 - Dozdívky a vybourán...'!$C$4:$J$39,'E 5 - Dozdívky a vybourán...'!$C$45:$J$73,'E 5 - Dozdívky a vybourán...'!$C$79:$K$543</definedName>
    <definedName name="_xlnm.Print_Area" localSheetId="6">'E 6 - Provedení střechy p...'!$C$4:$J$39,'E 6 - Provedení střechy p...'!$C$45:$J$72,'E 6 - Provedení střechy p...'!$C$78:$K$249</definedName>
    <definedName name="_xlnm.Print_Area" localSheetId="7">'E 7 - Vybourání stávající...'!$C$4:$J$39,'E 7 - Vybourání stávající...'!$C$45:$J$67,'E 7 - Vybourání stávající...'!$C$73:$K$238</definedName>
    <definedName name="_xlnm.Print_Area" localSheetId="8">'E 8 - Provedení otvoru pr...'!$C$4:$J$39,'E 8 - Provedení otvoru pr...'!$C$45:$J$70,'E 8 - Provedení otvoru pr...'!$C$76:$K$234</definedName>
    <definedName name="_xlnm.Print_Area" localSheetId="9">'E 9 - Hrubá stavba nové d...'!$C$4:$J$39,'E 9 - Hrubá stavba nové d...'!$C$45:$J$66,'E 9 - Hrubá stavba nové d...'!$C$72:$K$190</definedName>
    <definedName name="_xlnm.Print_Area" localSheetId="10">'E10 - Vybourání dispozice...'!$C$4:$J$39,'E10 - Vybourání dispozice...'!$C$45:$J$68,'E10 - Vybourání dispozice...'!$C$74:$K$299</definedName>
    <definedName name="_xlnm.Print_Area" localSheetId="11">'E11 - Hrubá stavba nové d...'!$C$4:$J$39,'E11 - Hrubá stavba nové d...'!$C$45:$J$72,'E11 - Hrubá stavba nové d...'!$C$78:$K$374</definedName>
    <definedName name="_xlnm.Print_Area" localSheetId="12">'E12 - Osazení výplní pláš...'!$C$4:$J$39,'E12 - Osazení výplní pláš...'!$C$45:$J$69,'E12 - Osazení výplní pláš...'!$C$75:$K$321</definedName>
    <definedName name="_xlnm.Print_Area" localSheetId="13">'E13 - Oprava a stavební ú...'!$C$4:$J$39,'E13 - Oprava a stavební ú...'!$C$45:$J$80,'E13 - Oprava a stavební ú...'!$C$86:$K$891</definedName>
    <definedName name="_xlnm.Print_Area" localSheetId="14">'E14 - Dokončovací práce -...'!$C$4:$J$39,'E14 - Dokončovací práce -...'!$C$45:$J$80,'E14 - Dokončovací práce -...'!$C$86:$K$707</definedName>
    <definedName name="_xlnm.Print_Area" localSheetId="15">'E15 - Vyrovnání terénu po...'!$C$4:$J$39,'E15 - Vyrovnání terénu po...'!$C$45:$J$65,'E15 - Vyrovnání terénu po...'!$C$71:$K$163</definedName>
    <definedName name="_xlnm.Print_Area" localSheetId="24">'Pokyny pro vyplnění'!$B$2:$K$71,'Pokyny pro vyplnění'!$B$74:$K$118,'Pokyny pro vyplnění'!$B$121:$K$161,'Pokyny pro vyplnění'!$B$164:$K$219</definedName>
    <definedName name="_xlnm.Print_Area" localSheetId="0">'Rekapitulace stavby'!$D$4:$AO$36,'Rekapitulace stavby'!$C$42:$AQ$75</definedName>
    <definedName name="_xlnm.Print_Area" localSheetId="16">'SO 2 - UT'!$C$4:$J$39,'SO 2 - UT'!$C$45:$J$63,'SO 2 - UT'!$C$69:$K$100</definedName>
    <definedName name="_xlnm.Print_Area" localSheetId="18">'SO 3 - elektroinstalace'!$C$4:$J$39,'SO 3 - elektroinstalace'!$C$45:$J$63,'SO 3 - elektroinstalace'!$C$69:$K$96</definedName>
    <definedName name="_xlnm.Print_Area" localSheetId="20">'SO 4 - ZTI'!$C$4:$J$39,'SO 4 - ZTI'!$C$45:$J$74,'SO 4 - ZTI'!$C$80:$K$445</definedName>
    <definedName name="_xlnm.Print_Area" localSheetId="21">'SO 5 - VZT'!$C$4:$J$39,'SO 5 - VZT'!$C$45:$J$63,'SO 5 - VZT'!$C$69:$K$96</definedName>
    <definedName name="_xlnm.Print_Area" localSheetId="23">'VON - vedlejší a ostatní ...'!$C$4:$J$39,'VON - vedlejší a ostatní ...'!$C$45:$J$63,'VON - vedlejší a ostatní ...'!$C$69:$K$103</definedName>
    <definedName name="_xlnm.Print_Titles" localSheetId="0">'Rekapitulace stavby'!$52:$52</definedName>
    <definedName name="_xlnm.Print_Titles" localSheetId="2">'E 2 - Sanace betonové kon...'!$85:$85</definedName>
    <definedName name="_xlnm.Print_Titles" localSheetId="3">'E 3 - Vyzdění severního p...'!$88:$88</definedName>
    <definedName name="_xlnm.Print_Titles" localSheetId="4">'E 4 - Oddělení bourané a ...'!$86:$86</definedName>
    <definedName name="_xlnm.Print_Titles" localSheetId="5">'E 5 - Dozdívky a vybourán...'!$91:$91</definedName>
    <definedName name="_xlnm.Print_Titles" localSheetId="6">'E 6 - Provedení střechy p...'!$90:$90</definedName>
    <definedName name="_xlnm.Print_Titles" localSheetId="7">'E 7 - Vybourání stávající...'!$85:$85</definedName>
    <definedName name="_xlnm.Print_Titles" localSheetId="8">'E 8 - Provedení otvoru pr...'!$88:$88</definedName>
    <definedName name="_xlnm.Print_Titles" localSheetId="9">'E 9 - Hrubá stavba nové d...'!$84:$84</definedName>
    <definedName name="_xlnm.Print_Titles" localSheetId="10">'E10 - Vybourání dispozice...'!$86:$86</definedName>
    <definedName name="_xlnm.Print_Titles" localSheetId="11">'E11 - Hrubá stavba nové d...'!$90:$90</definedName>
    <definedName name="_xlnm.Print_Titles" localSheetId="12">'E12 - Osazení výplní pláš...'!$87:$87</definedName>
    <definedName name="_xlnm.Print_Titles" localSheetId="13">'E13 - Oprava a stavební ú...'!$98:$98</definedName>
    <definedName name="_xlnm.Print_Titles" localSheetId="14">'E14 - Dokončovací práce -...'!$98:$98</definedName>
    <definedName name="_xlnm.Print_Titles" localSheetId="15">'E15 - Vyrovnání terénu po...'!$83:$83</definedName>
    <definedName name="_xlnm.Print_Titles" localSheetId="16">'SO 2 - UT'!$81:$81</definedName>
    <definedName name="_xlnm.Print_Titles" localSheetId="18">'SO 3 - elektroinstalace'!$81:$81</definedName>
    <definedName name="_xlnm.Print_Titles" localSheetId="20">'SO 4 - ZTI'!$92:$92</definedName>
    <definedName name="_xlnm.Print_Titles" localSheetId="21">'SO 5 - VZT'!$81:$81</definedName>
    <definedName name="_xlnm.Print_Titles" localSheetId="23">'VON - vedlejší a ostatní ...'!$81:$81</definedName>
  </definedNames>
  <calcPr calcId="191029"/>
  <extLst/>
</workbook>
</file>

<file path=xl/sharedStrings.xml><?xml version="1.0" encoding="utf-8"?>
<sst xmlns="http://schemas.openxmlformats.org/spreadsheetml/2006/main" count="37117" uniqueCount="4980">
  <si>
    <t>Export Komplet</t>
  </si>
  <si>
    <t>VZ</t>
  </si>
  <si>
    <t>2.0</t>
  </si>
  <si>
    <t/>
  </si>
  <si>
    <t>False</t>
  </si>
  <si>
    <t>{97f4bee0-ff52-4b4c-befb-54a020941cd8}</t>
  </si>
  <si>
    <t>&gt;&gt;  skryté sloupce  &lt;&lt;</t>
  </si>
  <si>
    <t>0,01</t>
  </si>
  <si>
    <t>21</t>
  </si>
  <si>
    <t>15</t>
  </si>
  <si>
    <t>REKAPITULACE STAVBY</t>
  </si>
  <si>
    <t>v ---  níže se nacházejí doplnkové a pomocné údaje k sestavám  --- v</t>
  </si>
  <si>
    <t>Návod na vyplnění</t>
  </si>
  <si>
    <t>0,001</t>
  </si>
  <si>
    <t>Kód:</t>
  </si>
  <si>
    <t>2020-70-ver3-rev2</t>
  </si>
  <si>
    <t>Měnit lze pouze buňky se žlutým podbarvením!
1) v Rekapitulaci stavby vyplňte údaje o Uchazeči (přenesou se do ostatních sestav i v jiných listech)
2) na vybraných listech vyplňte v sestavě Soupis prací ceny u položek</t>
  </si>
  <si>
    <t>Stavba:</t>
  </si>
  <si>
    <t>ZŠ P. HOLÉHO - PŘESTAVBA PLAVECKÉHO PAVILONU</t>
  </si>
  <si>
    <t>KSO:</t>
  </si>
  <si>
    <t>CC-CZ:</t>
  </si>
  <si>
    <t>Místo:</t>
  </si>
  <si>
    <t>Prokopa Holého 2632, Louny, 440 01</t>
  </si>
  <si>
    <t>Datum:</t>
  </si>
  <si>
    <t>21. 9. 2022</t>
  </si>
  <si>
    <t>Zadavatel:</t>
  </si>
  <si>
    <t>IČ:</t>
  </si>
  <si>
    <t>00265209</t>
  </si>
  <si>
    <t>Město Louny</t>
  </si>
  <si>
    <t>DIČ:</t>
  </si>
  <si>
    <t>Uchazeč:</t>
  </si>
  <si>
    <t>Vyplň údaj</t>
  </si>
  <si>
    <t>Projektant:</t>
  </si>
  <si>
    <t>28744632</t>
  </si>
  <si>
    <t>RYSIK Design s.r.o.</t>
  </si>
  <si>
    <t>CZ28744632</t>
  </si>
  <si>
    <t>True</t>
  </si>
  <si>
    <t>Zpracovatel:</t>
  </si>
  <si>
    <t>75900513</t>
  </si>
  <si>
    <t>Ing. Kateřina Tumpachová</t>
  </si>
  <si>
    <t>CZ7556082479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</si>
  <si>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</si>
  <si>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</si>
  <si>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</si>
  <si>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</si>
  <si>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</si>
  <si>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</si>
  <si>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</si>
  <si>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</si>
  <si>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</si>
  <si>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</si>
  <si>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</si>
  <si>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</si>
  <si>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</si>
  <si>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</si>
  <si>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</si>
  <si>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</si>
  <si>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</si>
  <si>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</si>
  <si>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</si>
  <si>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</si>
  <si>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</si>
  <si>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</si>
  <si>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</si>
  <si>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</si>
  <si>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</si>
  <si>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</si>
  <si>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</si>
  <si>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</si>
  <si>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</si>
  <si>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</si>
  <si>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</si>
  <si>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</si>
  <si>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</si>
  <si>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</si>
  <si>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</si>
  <si>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</si>
  <si>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</si>
  <si>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</si>
  <si>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</si>
  <si>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</si>
  <si>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</si>
  <si>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E 1</t>
  </si>
  <si>
    <t>Vyklizení objektu, odpojení a demontáž TZB</t>
  </si>
  <si>
    <t>STA</t>
  </si>
  <si>
    <t>1</t>
  </si>
  <si>
    <t>{01f37484-3116-4a22-b2c3-2b39cbb62d8c}</t>
  </si>
  <si>
    <t>2</t>
  </si>
  <si>
    <t>E 2</t>
  </si>
  <si>
    <t>Sanace betonové konstrukce ponechávané části</t>
  </si>
  <si>
    <t>{fcfd5a67-5f8b-4974-836e-2338e4c65f0f}</t>
  </si>
  <si>
    <t>E 3</t>
  </si>
  <si>
    <t>Vyzdění severního průčelí</t>
  </si>
  <si>
    <t>{c321f9d6-079c-4cb6-a606-198b7e2558ee}</t>
  </si>
  <si>
    <t>E 4</t>
  </si>
  <si>
    <t>Oddělení bourané a ponechávané části, bourání bazénu</t>
  </si>
  <si>
    <t>{848ee948-d0c7-4428-b9a6-c17138e21f72}</t>
  </si>
  <si>
    <t>E 5</t>
  </si>
  <si>
    <t>Dozdívky a vybourání otvorů v plášti, odstranění pláště střechy</t>
  </si>
  <si>
    <t>{24b8a3b8-975d-4f2c-80fb-cd6aee075d96}</t>
  </si>
  <si>
    <t>E 6</t>
  </si>
  <si>
    <t>Provedení střechy po parozábranu</t>
  </si>
  <si>
    <t>{4bb4f344-d77f-4dd8-8cd7-de6f487dc9e9}</t>
  </si>
  <si>
    <t>E 7</t>
  </si>
  <si>
    <t>Vybourání stávající dispozice 2. NP</t>
  </si>
  <si>
    <t>{f8f4d4ff-fe2a-49a1-9c28-7482e727b1e8}</t>
  </si>
  <si>
    <t>E 8</t>
  </si>
  <si>
    <t>Provedení otvoru pro schodišťový prostor</t>
  </si>
  <si>
    <t>{ea3f167b-5a8d-48ff-a09d-a1636ab52bcb}</t>
  </si>
  <si>
    <t>E 9</t>
  </si>
  <si>
    <t>Hrubá stavba nové dispozice 2. NP</t>
  </si>
  <si>
    <t>{55a0150d-4ac0-445f-b58f-6a327d256e35}</t>
  </si>
  <si>
    <t>E10</t>
  </si>
  <si>
    <t>Vybourání dispozice 1. NP</t>
  </si>
  <si>
    <t>{edcd464f-7283-4bf3-8c7e-2dff66d849fe}</t>
  </si>
  <si>
    <t>E11</t>
  </si>
  <si>
    <t>Hrubá stavba nové dispozice 1. NP</t>
  </si>
  <si>
    <t>{c4151af0-5856-4b07-a914-2e8cb4396ad0}</t>
  </si>
  <si>
    <t>E12</t>
  </si>
  <si>
    <t>Osazení výplní pláště, rozvody TZB, vnitřní omítky, těžké plovoucí podlahy, sta. úpravy a oprava ter</t>
  </si>
  <si>
    <t>{0bdac066-d9fc-4efc-b513-258b19345adf}</t>
  </si>
  <si>
    <t>E13</t>
  </si>
  <si>
    <t>Oprava a stavební úpravy terasy, KZSí stěn a podhledu+ okap.chodníčky, střešní plášť,venk.schodiště</t>
  </si>
  <si>
    <t>{3f824c9a-d31f-4550-a1f4-0be5f0d2e819}</t>
  </si>
  <si>
    <t>E14</t>
  </si>
  <si>
    <t>Dokončovací práce - výtah,zábradlí.obklady,parapety,malby,žaluzie,podlahy,dveře,dok.TZB</t>
  </si>
  <si>
    <t>{b97f5d96-88ba-4e0b-8b37-8b60cdc3eb63}</t>
  </si>
  <si>
    <t>E15</t>
  </si>
  <si>
    <t>Vyrovnání terénu po odstraněném bazénu, okapové chodníčky, ozelenění</t>
  </si>
  <si>
    <t>{b4a0c593-5745-4dc5-8156-4e7007b259b9}</t>
  </si>
  <si>
    <t>SO 2</t>
  </si>
  <si>
    <t>UT</t>
  </si>
  <si>
    <t>{43d2b72a-97be-41df-8cf9-b19e957a3080}</t>
  </si>
  <si>
    <t>SO 3</t>
  </si>
  <si>
    <t>elektroinstalace</t>
  </si>
  <si>
    <t>{19e669b2-182a-4c3f-b884-f42c1ae93309}</t>
  </si>
  <si>
    <t>SO 4</t>
  </si>
  <si>
    <t>ZTI</t>
  </si>
  <si>
    <t>{f064ffdd-93b6-40e4-872d-b1c259afa45c}</t>
  </si>
  <si>
    <t>SO 5</t>
  </si>
  <si>
    <t>VZT</t>
  </si>
  <si>
    <t>{be600105-1244-4b23-a3b0-79a77f8ce942}</t>
  </si>
  <si>
    <t>VON</t>
  </si>
  <si>
    <t>vedlejší a ostatní náklady</t>
  </si>
  <si>
    <t>{d80d69c0-8f95-4853-9b91-aed22ecfa9d6}</t>
  </si>
  <si>
    <t>KRYCÍ LIST SOUPISU PRACÍ</t>
  </si>
  <si>
    <t>Objekt:</t>
  </si>
  <si>
    <t>E 1 - Vyklizení objektu, odpojení a demontáž TZB</t>
  </si>
  <si>
    <t>ing. Kateřina Tumpachová</t>
  </si>
  <si>
    <t>REKAPITULACE ČLENĚNÍ SOUPISU PRACÍ</t>
  </si>
  <si>
    <t>Kód dílu - Popis</t>
  </si>
  <si>
    <t>Cena celkem [CZK]</t>
  </si>
  <si>
    <t>-1</t>
  </si>
  <si>
    <t>HSV - Práce a dodávky HSV</t>
  </si>
  <si>
    <t xml:space="preserve">    997 - Přesun sutě</t>
  </si>
  <si>
    <t>PSV - Práce a dodávky PSV</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</si>
  <si>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</si>
  <si>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</si>
  <si>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</si>
  <si>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</si>
  <si>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751 - Vzduchotechnika</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</si>
  <si>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</si>
  <si>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</si>
  <si>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</si>
  <si>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</si>
  <si>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</si>
  <si>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</si>
  <si>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</si>
  <si>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</si>
  <si>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</si>
  <si>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</si>
  <si>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</si>
  <si>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</si>
  <si>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</si>
  <si>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</si>
  <si>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</si>
  <si>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</si>
  <si>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</si>
  <si>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997</t>
  </si>
  <si>
    <t>Přesun sutě</t>
  </si>
  <si>
    <t>K</t>
  </si>
  <si>
    <t>997013213</t>
  </si>
  <si>
    <t>Vnitrostaveništní doprava suti a vybouraných hmot pro budovy v přes 9 do 12 m ručně</t>
  </si>
  <si>
    <t>t</t>
  </si>
  <si>
    <t>CS ÚRS 2022 02</t>
  </si>
  <si>
    <t>4</t>
  </si>
  <si>
    <t>439260098</t>
  </si>
  <si>
    <t>PP</t>
  </si>
  <si>
    <t>Vnitrostaveništní doprava suti a vybouraných hmot vodorovně do 50 m svisle ručně pro budovy a haly výšky přes 9 do 12 m</t>
  </si>
  <si>
    <t>Online PSC</t>
  </si>
  <si>
    <t>https://podminky.urs.cz/item/CS_URS_2022_02/997013213</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</si>
  <si>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</si>
  <si>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</si>
  <si>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VV</t>
  </si>
  <si>
    <t>1,362</t>
  </si>
  <si>
    <t>rozvody</t>
  </si>
  <si>
    <t>2+1</t>
  </si>
  <si>
    <t>Mezisoučet</t>
  </si>
  <si>
    <t>3</t>
  </si>
  <si>
    <t>nábytek</t>
  </si>
  <si>
    <t>5</t>
  </si>
  <si>
    <t>Součet</t>
  </si>
  <si>
    <t>997013219</t>
  </si>
  <si>
    <t>Příplatek k vnitrostaveništní dopravě suti a vybouraných hmot za zvětšenou dopravu suti ZKD 10 m</t>
  </si>
  <si>
    <t>1242653904</t>
  </si>
  <si>
    <t>Vnitrostaveništní doprava suti a vybouraných hmot vodorovně do 50 m Příplatek k cenám -3111 až -3217 za zvětšenou vodorovnou dopravu přes vymezenou dopravní vzdálenost za každých dalších i započatých 10 m</t>
  </si>
  <si>
    <t>https://podminky.urs.cz/item/CS_URS_2022_02/997013219</t>
  </si>
  <si>
    <t>1,362*2 'Přepočtené koeficientem množství</t>
  </si>
  <si>
    <t>997013501</t>
  </si>
  <si>
    <t>Odvoz suti a vybouraných hmot na skládku nebo meziskládku do 1 km se složením</t>
  </si>
  <si>
    <t>197484723</t>
  </si>
  <si>
    <t>Odvoz suti a vybouraných hmot na skládku nebo meziskládku se složením, na vzdálenost do 1 km</t>
  </si>
  <si>
    <t>https://podminky.urs.cz/item/CS_URS_2022_02/997013501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</si>
  <si>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</si>
  <si>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</si>
  <si>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Příplatek k odvozu suti a vybouraných hmot na skládku ZKD 1 km přes 1 km</t>
  </si>
  <si>
    <t>-1110274491</t>
  </si>
  <si>
    <t>Odvoz suti a vybouraných hmot na skládku nebo meziskládku se složením, na vzdálenost Příplatek k ceně za každý další i započatý 1 km přes 1 km</t>
  </si>
  <si>
    <t>https://podminky.urs.cz/item/CS_URS_2022_02/997013509</t>
  </si>
  <si>
    <t>přemístění nábytku do jiné školy</t>
  </si>
  <si>
    <t>5*2</t>
  </si>
  <si>
    <t>suť na skládku</t>
  </si>
  <si>
    <t>4,362*19</t>
  </si>
  <si>
    <t>997013871</t>
  </si>
  <si>
    <t>Poplatek za uložení stavebního odpadu na recyklační skládce (skládkovné) směsného stavebního a demoličního kód odpadu 17 09 04</t>
  </si>
  <si>
    <t>1434851387</t>
  </si>
  <si>
    <t>Poplatek za uložení stavebního odpadu na recyklační skládce (skládkovné) směsného stavebního a demoličního zatříděného do Katalogu odpadů pod kódem 17 09 04</t>
  </si>
  <si>
    <t>https://podminky.urs.cz/item/CS_URS_2022_02/997013871</t>
  </si>
  <si>
    <t xml:space="preserve">Poznámka k souboru cen:
1. Ceny uvedené v souboru cen je doporučeno upravit podle aktuálních cen místně příslušné skládky odpadů.
2. Uložení odpadů neuvedených v souboru cen se oceňuje individuálně.
</t>
  </si>
  <si>
    <t>PSV</t>
  </si>
  <si>
    <t>Práce a dodávky PSV</t>
  </si>
  <si>
    <t>721</t>
  </si>
  <si>
    <t>Zdravotechnika - vnitřní kanalizace</t>
  </si>
  <si>
    <t>6</t>
  </si>
  <si>
    <t>721210813</t>
  </si>
  <si>
    <t>Demontáž vpustí podlahových z kyselinovzdorné kameniny DN 100</t>
  </si>
  <si>
    <t>kus</t>
  </si>
  <si>
    <t>16</t>
  </si>
  <si>
    <t>1648466032</t>
  </si>
  <si>
    <t>Demontáž kanalizačního příslušenství vpustí podlahových z kyselinovzdorné kameniny DN 100</t>
  </si>
  <si>
    <t>https://podminky.urs.cz/item/CS_URS_2022_02/721210813</t>
  </si>
  <si>
    <t>7</t>
  </si>
  <si>
    <t>demontáž rozvodů kanalizace</t>
  </si>
  <si>
    <t>kpl</t>
  </si>
  <si>
    <t>vlastní</t>
  </si>
  <si>
    <t>-1248096534</t>
  </si>
  <si>
    <t>722</t>
  </si>
  <si>
    <t>Zdravotechnika - vnitřní vodovod</t>
  </si>
  <si>
    <t>8</t>
  </si>
  <si>
    <t>V</t>
  </si>
  <si>
    <t>demontáž rozvodů vody</t>
  </si>
  <si>
    <t>-383338308</t>
  </si>
  <si>
    <t>9</t>
  </si>
  <si>
    <t>V2</t>
  </si>
  <si>
    <t>odpojení obektu od vody</t>
  </si>
  <si>
    <t>1504113695</t>
  </si>
  <si>
    <t>725</t>
  </si>
  <si>
    <t>Zdravotechnika - zařizovací předměty</t>
  </si>
  <si>
    <t>10</t>
  </si>
  <si>
    <t>725110814</t>
  </si>
  <si>
    <t>Demontáž klozetu Kombi</t>
  </si>
  <si>
    <t>soubor</t>
  </si>
  <si>
    <t>362782297</t>
  </si>
  <si>
    <t>Demontáž klozetů kombi</t>
  </si>
  <si>
    <t>https://podminky.urs.cz/item/CS_URS_2022_02/725110814</t>
  </si>
  <si>
    <t>11</t>
  </si>
  <si>
    <t>725210821</t>
  </si>
  <si>
    <t>Demontáž umyvadel bez výtokových armatur</t>
  </si>
  <si>
    <t>849934736</t>
  </si>
  <si>
    <t>Demontáž umyvadel bez výtokových armatur umyvadel</t>
  </si>
  <si>
    <t>https://podminky.urs.cz/item/CS_URS_2022_02/725210821</t>
  </si>
  <si>
    <t>12</t>
  </si>
  <si>
    <t>725210826</t>
  </si>
  <si>
    <t>Demontáž umývátek bez výtokových armatur</t>
  </si>
  <si>
    <t>983851598</t>
  </si>
  <si>
    <t>Demontáž umyvadel bez výtokových armatur umývátek</t>
  </si>
  <si>
    <t>https://podminky.urs.cz/item/CS_URS_2022_02/725210826</t>
  </si>
  <si>
    <t>13</t>
  </si>
  <si>
    <t>725820801</t>
  </si>
  <si>
    <t>Demontáž baterie nástěnné do G 3 / 4</t>
  </si>
  <si>
    <t>-1129818910</t>
  </si>
  <si>
    <t>Demontáž baterií nástěnných do G 3/4</t>
  </si>
  <si>
    <t>https://podminky.urs.cz/item/CS_URS_2022_02/725820801</t>
  </si>
  <si>
    <t>14</t>
  </si>
  <si>
    <t>725840850</t>
  </si>
  <si>
    <t>Demontáž baterie sprch diferenciální do G 3/4x1</t>
  </si>
  <si>
    <t>-1204936725</t>
  </si>
  <si>
    <t>Demontáž baterií sprchových diferenciálních do G 3/4 x 1</t>
  </si>
  <si>
    <t>https://podminky.urs.cz/item/CS_URS_2022_02/725840850</t>
  </si>
  <si>
    <t>8+8+2</t>
  </si>
  <si>
    <t>725860811</t>
  </si>
  <si>
    <t>Demontáž uzávěrů zápachu jednoduchých</t>
  </si>
  <si>
    <t>543680380</t>
  </si>
  <si>
    <t>Demontáž zápachových uzávěrek pro zařizovací předměty jednoduchých</t>
  </si>
  <si>
    <t>https://podminky.urs.cz/item/CS_URS_2022_02/725860811</t>
  </si>
  <si>
    <t>741</t>
  </si>
  <si>
    <t>Elektroinstalace - silnoproud</t>
  </si>
  <si>
    <t>Eo</t>
  </si>
  <si>
    <t>odpojení obektu od elektřiny</t>
  </si>
  <si>
    <t>-950452682</t>
  </si>
  <si>
    <t>751</t>
  </si>
  <si>
    <t>Vzduchotechnika</t>
  </si>
  <si>
    <t>17</t>
  </si>
  <si>
    <t>HZS3211</t>
  </si>
  <si>
    <t>Hodinová zúčtovací sazba montér vzduchotechniky a chlazení</t>
  </si>
  <si>
    <t>hod</t>
  </si>
  <si>
    <t>-1338429861</t>
  </si>
  <si>
    <t>Hodinové zúčtovací sazby montáží technologických zařízení na stavebních objektech montér vzduchotechniky a chlazení</t>
  </si>
  <si>
    <t>https://podminky.urs.cz/item/CS_URS_2022_02/HZS3211</t>
  </si>
  <si>
    <t>demontáže stáv. VZT - odhad</t>
  </si>
  <si>
    <t>2*8</t>
  </si>
  <si>
    <t>5*8*5</t>
  </si>
  <si>
    <t>4*8*5</t>
  </si>
  <si>
    <t>HZS</t>
  </si>
  <si>
    <t>Hodinové zúčtovací sazby</t>
  </si>
  <si>
    <t>18</t>
  </si>
  <si>
    <t>HZS1291</t>
  </si>
  <si>
    <t>Hodinová zúčtovací sazba pomocný stavební dělník</t>
  </si>
  <si>
    <t>512</t>
  </si>
  <si>
    <t>-1110026357</t>
  </si>
  <si>
    <t>Hodinové zúčtovací sazby profesí HSV zemní a pomocné práce pomocný stavební dělník</t>
  </si>
  <si>
    <t>https://podminky.urs.cz/item/CS_URS_2022_02/HZS1291</t>
  </si>
  <si>
    <t>vyklizení objektu</t>
  </si>
  <si>
    <t>4*8*4</t>
  </si>
  <si>
    <t>E 2 - Sanace betonové konstrukce ponechávané části</t>
  </si>
  <si>
    <t xml:space="preserve">    9 - Ostatní konstrukce a práce, bourání</t>
  </si>
  <si>
    <t xml:space="preserve">    998 - Přesun hmot</t>
  </si>
  <si>
    <t>VRN - Vedlejší rozpočtové náklady</t>
  </si>
  <si>
    <t xml:space="preserve">    VRN1 - Průzkumné, geodetické a projektové práce</t>
  </si>
  <si>
    <t>Ostatní konstrukce a práce, bourání</t>
  </si>
  <si>
    <t>949101112</t>
  </si>
  <si>
    <t>Lešení pomocné pro objekty pozemních staveb s lešeňovou podlahou v přes 1,9 do 3,5 m zatížení do 150 kg/m2</t>
  </si>
  <si>
    <t>m2</t>
  </si>
  <si>
    <t>-1482701534</t>
  </si>
  <si>
    <t>Lešení pomocné pracovní pro objekty pozemních staveb pro zatížení do 150 kg/m2, o výšce lešeňové podlahy přes 1,9 do 3,5 m</t>
  </si>
  <si>
    <t>https://podminky.urs.cz/item/CS_URS_2022_02/949101112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</si>
  <si>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</si>
  <si>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24*13</t>
  </si>
  <si>
    <t>24*13,7*2</t>
  </si>
  <si>
    <t>952901111</t>
  </si>
  <si>
    <t>Vyčištění budov bytové a občanské výstavby při výšce podlaží do 4 m</t>
  </si>
  <si>
    <t>857313604</t>
  </si>
  <si>
    <t>Vyčištění budov nebo objektů před předáním do užívání budov bytové nebo občanské výstavby, světlé výšky podlaží do 4 m</t>
  </si>
  <si>
    <t>https://podminky.urs.cz/item/CS_URS_2022_02/952901111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</si>
  <si>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</si>
  <si>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985112112</t>
  </si>
  <si>
    <t>Odsekání degradovaného betonu stěn tl přes 10 do 30 mm</t>
  </si>
  <si>
    <t>337776155</t>
  </si>
  <si>
    <t>Odsekání degradovaného betonu stěn, tloušťky přes 10 do 30 mm</t>
  </si>
  <si>
    <t>https://podminky.urs.cz/item/CS_URS_2022_02/985112112</t>
  </si>
  <si>
    <t xml:space="preserve">Poznámka k souboru cen:
1. V ceně -2111 až -2133 jsou započteny i náklady na odstranění degradovaného betonu ručním pneumatickým kladivem s dočištěním k obnažení betonářské výztuže a jejím ručním očištěním.
</t>
  </si>
  <si>
    <t>158,916</t>
  </si>
  <si>
    <t>985112113</t>
  </si>
  <si>
    <t>Odsekání degradovaného betonu stěn tl přes 30 do 50 mm</t>
  </si>
  <si>
    <t>-2101228765</t>
  </si>
  <si>
    <t>Odsekání degradovaného betonu stěn, tloušťky přes 30 do 50 mm</t>
  </si>
  <si>
    <t>https://podminky.urs.cz/item/CS_URS_2022_02/985112113</t>
  </si>
  <si>
    <t>985112122</t>
  </si>
  <si>
    <t>Odsekání degradovaného betonu líce kleneb a podhledů tl přes 10 do 30 mm</t>
  </si>
  <si>
    <t>1555498955</t>
  </si>
  <si>
    <t>Odsekání degradovaného betonu líce kleneb a podhledů, tloušťky přes 10 do 30 mm</t>
  </si>
  <si>
    <t>https://podminky.urs.cz/item/CS_URS_2022_02/985112122</t>
  </si>
  <si>
    <t>985112123</t>
  </si>
  <si>
    <t>Odsekání degradovaného betonu líce kleneb a podhledů tl přes 30 do 50 mm</t>
  </si>
  <si>
    <t>1988984156</t>
  </si>
  <si>
    <t>Odsekání degradovaného betonu líce kleneb a podhledů, tloušťky přes 30 do 50 mm</t>
  </si>
  <si>
    <t>https://podminky.urs.cz/item/CS_URS_2022_02/985112123</t>
  </si>
  <si>
    <t>985121122</t>
  </si>
  <si>
    <t>Tryskání degradovaného betonu stěn a rubu kleneb vodou pod tlakem přes 300 do 1250 barů</t>
  </si>
  <si>
    <t>728393010</t>
  </si>
  <si>
    <t>Tryskání degradovaného betonu stěn, rubu kleneb a podlah vodou pod tlakem přes 300 do 1 250 barů</t>
  </si>
  <si>
    <t>https://podminky.urs.cz/item/CS_URS_2022_02/985121122</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</si>
  <si>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</si>
  <si>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985121222</t>
  </si>
  <si>
    <t>Tryskání degradovaného betonu líce kleneb vodou pod tlakem přes 300 do 1250 barů</t>
  </si>
  <si>
    <t>-1301207506</t>
  </si>
  <si>
    <t>Tryskání degradovaného betonu líce kleneb a podhledů vodou pod tlakem přes 300 do 1 250 barů</t>
  </si>
  <si>
    <t>https://podminky.urs.cz/item/CS_URS_2022_02/985121222</t>
  </si>
  <si>
    <t>985131311</t>
  </si>
  <si>
    <t>Ruční dočištění ploch stěn, rubu kleneb a podlah ocelových kartáči</t>
  </si>
  <si>
    <t>-954769230</t>
  </si>
  <si>
    <t>Očištění ploch stěn, rubu kleneb a podlah ruční dočištění ocelovými kartáči</t>
  </si>
  <si>
    <t>https://podminky.urs.cz/item/CS_URS_2022_02/985131311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</si>
  <si>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</si>
  <si>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158,916+255,242</t>
  </si>
  <si>
    <t>985132311</t>
  </si>
  <si>
    <t>Ruční dočištění ploch líce kleneb a podhledů ocelových kartáči</t>
  </si>
  <si>
    <t>1645238452</t>
  </si>
  <si>
    <t>Očištění ploch líce kleneb a podhledů ruční dočištění ocelovými kartáči</t>
  </si>
  <si>
    <t>https://podminky.urs.cz/item/CS_URS_2022_02/985132311</t>
  </si>
  <si>
    <t>133,796+222,993</t>
  </si>
  <si>
    <t>985311112</t>
  </si>
  <si>
    <t>Reprofilace stěn cementovou sanační maltou tl přes 10 do 20 mm</t>
  </si>
  <si>
    <t>-580770544</t>
  </si>
  <si>
    <t>Reprofilace betonu sanačními maltami na cementové bázi ručně stěn, tloušťky přes 10 do 20 mm</t>
  </si>
  <si>
    <t>https://podminky.urs.cz/item/CS_URS_2022_02/985311112</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</si>
  <si>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</si>
  <si>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odhad projektanta - 10% plochy pláště</t>
  </si>
  <si>
    <t>2,65*(13,255+24,0+13,255)*0,1</t>
  </si>
  <si>
    <t>(3,95*(13,94+24-11,475+13,94)-0,9*0,9*7-0,6*0,9-2,1*2,15*2-2,5*2,4)*0,05+(4,15*(14,24+0,3+24,+14,24+0,3)-0,9*0,9*7-0,6*0,9-2,1*2,15*2-2,5*2,4)*0,1</t>
  </si>
  <si>
    <t>(3,95*(5,6+11,8+13,94)-1,8*2,4-1,5*2,0)*0,05+(5,05*(5,6+11,8+14,24+0,3)-1,8*2,4-1,5*2,0)*0,1</t>
  </si>
  <si>
    <t>odhad projektanta - sloupy 30% hran + 30% plochy.............hrana 10x10cm</t>
  </si>
  <si>
    <t>2,65*0,1*2*4*20*0,3+2,65*0,2*4*20*0,3</t>
  </si>
  <si>
    <t>3,95*0,1*2*4*18*0,3+3,95*0,1*2*4*18*0,3</t>
  </si>
  <si>
    <t>3,95*0,1*2*4*20*0,3+3,95*0,1*2*4*20*0,3</t>
  </si>
  <si>
    <t>985311114</t>
  </si>
  <si>
    <t>Reprofilace stěn cementovou sanační maltou tl přes 30 do 40 mm</t>
  </si>
  <si>
    <t>1063040241</t>
  </si>
  <si>
    <t>Reprofilace betonu sanačními maltami na cementové bázi ručně stěn, tloušťky přes 30 do 40 mm</t>
  </si>
  <si>
    <t>https://podminky.urs.cz/item/CS_URS_2022_02/985311114</t>
  </si>
  <si>
    <t>odhad projektanta - 25% plochy pláště</t>
  </si>
  <si>
    <t>2,65*(13,255+24,0+13,255)*0,25</t>
  </si>
  <si>
    <t>(3,95*(13,94+24-11,475+13,94)-0,9*0,9*7-0,6*0,9-2,1*2,15*2-2,5*2,4)*0,05+(4,15*(14,24+0,3+24,+14,24+0,3)-0,9*0,9*7-0,6*0,9-2,1*2,15*2-2,5*2,4)*0,25</t>
  </si>
  <si>
    <t>(3,95*(5,6+11,8+13,94)-1,8*2,4-1,5*2,0)*0,25+(5,05*(5,6+11,8+14,24+0,3)-1,8*2,4-1,5*2,0)*0,25</t>
  </si>
  <si>
    <t>odhad projektanta - sloupy 50% hran + 10% plochy.............hrana 10x10cm</t>
  </si>
  <si>
    <t>2,65*0,1*2*4*20*0,5+2,65*0,2*4*20*0,1</t>
  </si>
  <si>
    <t>3,95*0,1*2*4*18*0,5+3,95*0,1*2*4*18*0,1</t>
  </si>
  <si>
    <t>3,95*0,1*2*4*20*0,5+3,95*0,1*2*4*20*0,1</t>
  </si>
  <si>
    <t>985311212</t>
  </si>
  <si>
    <t>Reprofilace líce kleneb a podhledů cementovou sanační maltou tl přes 10 do 20 mm</t>
  </si>
  <si>
    <t>795136047</t>
  </si>
  <si>
    <t>Reprofilace betonu sanačními maltami na cementové bázi ručně líce kleneb a podhledů, tloušťky přes 10 do 20 mm</t>
  </si>
  <si>
    <t>https://podminky.urs.cz/item/CS_URS_2022_02/985311212</t>
  </si>
  <si>
    <t>odhad projektanta - 15% plochy podhledů</t>
  </si>
  <si>
    <t>(24*13,255-2,72*2,02)*0,15</t>
  </si>
  <si>
    <t>(24*13,69-11,475*3,71-4,4*4,0)*0,15</t>
  </si>
  <si>
    <t>(24*13,69-4,4*4)*0,15</t>
  </si>
  <si>
    <t>985311214</t>
  </si>
  <si>
    <t>Reprofilace líce kleneb a podhledů cementovou sanační maltou tl přes 30 do 40 mm</t>
  </si>
  <si>
    <t>1076097829</t>
  </si>
  <si>
    <t>Reprofilace betonu sanačními maltami na cementové bázi ručně líce kleneb a podhledů, tloušťky přes 30 do 40 mm</t>
  </si>
  <si>
    <t>https://podminky.urs.cz/item/CS_URS_2022_02/985311214</t>
  </si>
  <si>
    <t>odhad projektanta - 25% plochy podhledů</t>
  </si>
  <si>
    <t>(24*13,255-2,72*2,02)*0,25</t>
  </si>
  <si>
    <t>(24*13,69-11,475*3,71-4,4*4,0)*0,25</t>
  </si>
  <si>
    <t>(24*13,69-4,4*4)*0,25</t>
  </si>
  <si>
    <t>985311913</t>
  </si>
  <si>
    <t>Příplatek při reprofilaci sanační maltou za větší členitost povrchu (sloupy, výklenky)</t>
  </si>
  <si>
    <t>-1040862325</t>
  </si>
  <si>
    <t>Reprofilace betonu sanačními maltami na cementové bázi ručně Příplatek k cenám za větší členitost povrchu (sloupy, výklenky)</t>
  </si>
  <si>
    <t>https://podminky.urs.cz/item/CS_URS_2022_02/985311913</t>
  </si>
  <si>
    <t>sloupy</t>
  </si>
  <si>
    <t>97,488*2</t>
  </si>
  <si>
    <t>985312111</t>
  </si>
  <si>
    <t>Stěrka k vyrovnání betonových ploch stěn tl do 2 mm</t>
  </si>
  <si>
    <t>1369693710</t>
  </si>
  <si>
    <t>Stěrka k vyrovnání ploch reprofilovaného betonu stěn, tloušťky do 2 mm</t>
  </si>
  <si>
    <t>https://podminky.urs.cz/item/CS_URS_2022_02/985312111</t>
  </si>
  <si>
    <t xml:space="preserve">Poznámka k souboru cen:
1. V cenách nejsou započteny náklady na ochranný nátěr, které se oceňují souborem cen 985 32-4 Ochranný nátěr betonu.
</t>
  </si>
  <si>
    <t>985312121</t>
  </si>
  <si>
    <t>Stěrka k vyrovnání betonových ploch líce kleneb a podhledů tl do 2 mm</t>
  </si>
  <si>
    <t>-876705663</t>
  </si>
  <si>
    <t>Stěrka k vyrovnání ploch reprofilovaného betonu líce kleneb a podhledů, tloušťky do 2 mm</t>
  </si>
  <si>
    <t>https://podminky.urs.cz/item/CS_URS_2022_02/985312121</t>
  </si>
  <si>
    <t>985321111</t>
  </si>
  <si>
    <t>Ochranný nátěr výztuže na cementové bázi stěn, líce kleneb a podhledů 1 vrstva tl 1 mm</t>
  </si>
  <si>
    <t>-1133812467</t>
  </si>
  <si>
    <t>Ochranný nátěr betonářské výztuže 1 vrstva tloušťky 1 mm na cementové bázi stěn, líce kleneb a podhledů</t>
  </si>
  <si>
    <t>https://podminky.urs.cz/item/CS_URS_2022_02/985321111</t>
  </si>
  <si>
    <t xml:space="preserve">Poznámka k souboru cen:
1. Množství měrných jednotek se určuje v m2 rozvinuté betonové plochy, na které se výztuž ošetřuje. Je uvažováno 10 bm výztuže na 1 m2 plochy.
</t>
  </si>
  <si>
    <t>255,242+222,993</t>
  </si>
  <si>
    <t>19</t>
  </si>
  <si>
    <t>985323111</t>
  </si>
  <si>
    <t>Spojovací můstek reprofilovaného betonu na cementové bázi tl 1 mm</t>
  </si>
  <si>
    <t>-320688711</t>
  </si>
  <si>
    <t>Spojovací můstek reprofilovaného betonu na cementové bázi, tloušťky 1 mm</t>
  </si>
  <si>
    <t>https://podminky.urs.cz/item/CS_URS_2022_02/985323111</t>
  </si>
  <si>
    <t>20</t>
  </si>
  <si>
    <t>985324211</t>
  </si>
  <si>
    <t>Ochranný akrylátový nátěr betonu dvojnásobný s impregnací (OS-B)</t>
  </si>
  <si>
    <t>36976514</t>
  </si>
  <si>
    <t>Ochranný nátěr betonu akrylátový dvojnásobný s impregnací (OS-B)</t>
  </si>
  <si>
    <t>https://podminky.urs.cz/item/CS_URS_2022_02/985324211</t>
  </si>
  <si>
    <t>414,158+356,789</t>
  </si>
  <si>
    <t>985331213</t>
  </si>
  <si>
    <t>Dodatečné vlepování betonářské výztuže D 12 mm do chemické malty včetně vyvrtání otvoru</t>
  </si>
  <si>
    <t>m</t>
  </si>
  <si>
    <t>1650503452</t>
  </si>
  <si>
    <t>Dodatečné vlepování betonářské výztuže včetně vyvrtání a vyčištění otvoru chemickou maltou průměr výztuže 12 mm</t>
  </si>
  <si>
    <t>https://podminky.urs.cz/item/CS_URS_2022_02/985331213</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</si>
  <si>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</si>
  <si>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odhad 25 % plochy, 5 prutů / m2</t>
  </si>
  <si>
    <t>478,235*0,25*5</t>
  </si>
  <si>
    <t>22</t>
  </si>
  <si>
    <t>M</t>
  </si>
  <si>
    <t>13021013</t>
  </si>
  <si>
    <t>tyč ocelová kruhová žebírková DIN 488 jakost B500B (10 505) výztuž do betonu D 12mm</t>
  </si>
  <si>
    <t>-753609653</t>
  </si>
  <si>
    <t>tyč ocelová žebírková jakost BSt 500S (10 505) výztuž do betonu D 12mm</t>
  </si>
  <si>
    <t>597,794*0,888*1,1/1000</t>
  </si>
  <si>
    <t>23</t>
  </si>
  <si>
    <t>985331217</t>
  </si>
  <si>
    <t>Dodatečné vlepování betonářské výztuže D 20 mm do chemické malty včetně vyvrtání otvoru</t>
  </si>
  <si>
    <t>670693191</t>
  </si>
  <si>
    <t>Dodatečné vlepování betonářské výztuže včetně vyvrtání a vyčištění otvoru chemickou maltou průměr výztuže 20 mm</t>
  </si>
  <si>
    <t>https://podminky.urs.cz/item/CS_URS_2022_02/985331217</t>
  </si>
  <si>
    <t>24</t>
  </si>
  <si>
    <t>13021017</t>
  </si>
  <si>
    <t>tyč ocelová kruhová žebírková DIN 488 jakost B500B (10 505) výztuž do betonu D 20mm</t>
  </si>
  <si>
    <t>1966610362</t>
  </si>
  <si>
    <t>tyč ocelová žebírková jakost BSt 500S (10 505) výztuž do betonu D 20mm</t>
  </si>
  <si>
    <t>597,794*2,46*1,01/1000</t>
  </si>
  <si>
    <t>25</t>
  </si>
  <si>
    <t>1477138478</t>
  </si>
  <si>
    <t>26</t>
  </si>
  <si>
    <t>596283960</t>
  </si>
  <si>
    <t>126,489*2 'Přepočtené koeficientem množství</t>
  </si>
  <si>
    <t>27</t>
  </si>
  <si>
    <t>1636734064</t>
  </si>
  <si>
    <t>28</t>
  </si>
  <si>
    <t>-854568541</t>
  </si>
  <si>
    <t>126,489*19 'Přepočtené koeficientem množství</t>
  </si>
  <si>
    <t>29</t>
  </si>
  <si>
    <t>997013861</t>
  </si>
  <si>
    <t>Poplatek za uložení stavebního odpadu na recyklační skládce (skládkovné) z prostého betonu kód odpadu 17 01 01</t>
  </si>
  <si>
    <t>-33409024</t>
  </si>
  <si>
    <t>Poplatek za uložení stavebního odpadu na recyklační skládce (skládkovné) z prostého betonu zatříděného do Katalogu odpadů pod kódem 17 01 01</t>
  </si>
  <si>
    <t>https://podminky.urs.cz/item/CS_URS_2022_02/997013861</t>
  </si>
  <si>
    <t>998</t>
  </si>
  <si>
    <t>Přesun hmot</t>
  </si>
  <si>
    <t>30</t>
  </si>
  <si>
    <t>998018002</t>
  </si>
  <si>
    <t>Přesun hmot ruční pro budovy v přes 6 do 12 m</t>
  </si>
  <si>
    <t>1448641234</t>
  </si>
  <si>
    <t>Přesun hmot pro budovy občanské výstavby, bydlení, výrobu a služby ruční - bez užití mechanizace vodorovná dopravní vzdálenost do 100 m pro budovy s jakoukoliv nosnou konstrukcí výšky přes 6 do 12 m</t>
  </si>
  <si>
    <t>https://podminky.urs.cz/item/CS_URS_2022_02/998018002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</si>
  <si>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</si>
  <si>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31</t>
  </si>
  <si>
    <t>HZS1292</t>
  </si>
  <si>
    <t>Hodinová zúčtovací sazba stavební dělník</t>
  </si>
  <si>
    <t>-332556215</t>
  </si>
  <si>
    <t>Hodinové zúčtovací sazby profesí HSV zemní a pomocné práce stavební dělník</t>
  </si>
  <si>
    <t>https://podminky.urs.cz/item/CS_URS_2022_02/HZS1292</t>
  </si>
  <si>
    <t>VRN</t>
  </si>
  <si>
    <t>Vedlejší rozpočtové náklady</t>
  </si>
  <si>
    <t>VRN1</t>
  </si>
  <si>
    <t>Průzkumné, geodetické a projektové práce</t>
  </si>
  <si>
    <t>32</t>
  </si>
  <si>
    <t>011514000</t>
  </si>
  <si>
    <t>Stavebně-statický průzkum</t>
  </si>
  <si>
    <t>1024</t>
  </si>
  <si>
    <t>-408830679</t>
  </si>
  <si>
    <t>https://podminky.urs.cz/item/CS_URS_2022_02/011514000</t>
  </si>
  <si>
    <t>E 3 - Vyzdění severního průčelí</t>
  </si>
  <si>
    <t xml:space="preserve">    2 - Zakládání</t>
  </si>
  <si>
    <t xml:space="preserve">    3 - Svislé a kompletní konstrukce</t>
  </si>
  <si>
    <t xml:space="preserve">    6 - Úpravy povrchů, podlahy a osazování výplní</t>
  </si>
  <si>
    <t xml:space="preserve">    711 - Izolace proti vodě, vlhkosti a plynům</t>
  </si>
  <si>
    <t xml:space="preserve">    713 - Izolace tepelné</t>
  </si>
  <si>
    <t>Zakládání</t>
  </si>
  <si>
    <t>279113135</t>
  </si>
  <si>
    <t>Základová zeď tl přes 300 do 400 mm z tvárnic ztraceného bednění včetně výplně z betonu tř. C 16/20</t>
  </si>
  <si>
    <t>-473712678</t>
  </si>
  <si>
    <t>Základové zdi z tvárnic ztraceného bednění včetně výplně z betonu bez zvláštních nároků na vliv prostředí třídy C 16/20, tloušťky zdiva přes 300 do 400 mm</t>
  </si>
  <si>
    <t>https://podminky.urs.cz/item/CS_URS_2022_02/279113135</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</si>
  <si>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</si>
  <si>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24,0*0,25</t>
  </si>
  <si>
    <t>u sloupů</t>
  </si>
  <si>
    <t>0,24*0,25*5</t>
  </si>
  <si>
    <t>Svislé a kompletní konstrukce</t>
  </si>
  <si>
    <t>311270521</t>
  </si>
  <si>
    <t>Zdivo z vápenopískových přesných plných tvárnic 8DF do P15 tl 240 mm</t>
  </si>
  <si>
    <t>-634551943</t>
  </si>
  <si>
    <t>Zdivo z přesných vápenopískových tvárnic na tenkovrstvou maltu, tloušťka zdiva 240 mm, formát a rozměr cihel 8DF 248x240x248 mm plných, pevnosti do P15</t>
  </si>
  <si>
    <t>https://podminky.urs.cz/item/CS_URS_2022_02/311270521</t>
  </si>
  <si>
    <t>24*2,3</t>
  </si>
  <si>
    <t>dozdění u sloupů</t>
  </si>
  <si>
    <t>0,4*2,3*5</t>
  </si>
  <si>
    <t>311272031</t>
  </si>
  <si>
    <t>Zdivo z pórobetonových tvárnic hladkých přes P2 do P4 přes 450 do 600 kg/m3 na tenkovrstvou maltu tl 200 mm</t>
  </si>
  <si>
    <t>1955736031</t>
  </si>
  <si>
    <t>Zdivo z pórobetonových tvárnic na tenké maltové lože, tl. zdiva 200 mm pevnost tvárnic přes P2 do P4, objemová hmotnost přes 450 do 600 kg/m3 hladkých</t>
  </si>
  <si>
    <t>https://podminky.urs.cz/item/CS_URS_2022_02/311272031</t>
  </si>
  <si>
    <t>atika</t>
  </si>
  <si>
    <t>24,0*0,85</t>
  </si>
  <si>
    <t>311272111</t>
  </si>
  <si>
    <t>Zdivo z pórobetonových tvárnic hladkých do P2 do 450 kg/m3 na tenkovrstvou maltu tl 250 mm</t>
  </si>
  <si>
    <t>1002526881</t>
  </si>
  <si>
    <t>Zdivo z pórobetonových tvárnic na tenké maltové lože, tl. zdiva 250 mm pevnost tvárnic do P2, objemová hmotnost do 450 kg/m3 hladkých</t>
  </si>
  <si>
    <t>https://podminky.urs.cz/item/CS_URS_2022_02/311272111</t>
  </si>
  <si>
    <t>24,0*(3,95+3,95)</t>
  </si>
  <si>
    <t>3,95*0,4*5*2</t>
  </si>
  <si>
    <t>okna</t>
  </si>
  <si>
    <t>-2,4*2,4*8</t>
  </si>
  <si>
    <t>-2,4*2,4*6</t>
  </si>
  <si>
    <t>317941121</t>
  </si>
  <si>
    <t>Osazování ocelových válcovaných nosníků na zdivu I, IE, U, UE nebo L do č. 12 nebo výšky do 120 mm</t>
  </si>
  <si>
    <t>1115302006</t>
  </si>
  <si>
    <t>Osazování ocelových válcovaných nosníků na zdivu I nebo IE nebo U nebo UE nebo L do č. 12 nebo výšky do 120 mm</t>
  </si>
  <si>
    <t>https://podminky.urs.cz/item/CS_URS_2022_02/317941121</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</si>
  <si>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</si>
  <si>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13010514</t>
  </si>
  <si>
    <t>úhelník ocelový nerovnostranný jakost S235JR (11 375) 80x60x6mm</t>
  </si>
  <si>
    <t>-349145902</t>
  </si>
  <si>
    <t>úhelník ocelový nerovnostranný jakost 11 375 80x60x6mm</t>
  </si>
  <si>
    <t>2xL80/60/6</t>
  </si>
  <si>
    <t>6,37*2*(14*2,8)/1000</t>
  </si>
  <si>
    <t>0,499*1,05 'Přepočtené koeficientem množství</t>
  </si>
  <si>
    <t>342291112</t>
  </si>
  <si>
    <t>Ukotvení příček montážní polyuretanovou pěnou tl příčky přes 100 mm</t>
  </si>
  <si>
    <t>1242667470</t>
  </si>
  <si>
    <t>Ukotvení příček polyuretanovou pěnou, tl. příčky přes 100 mm</t>
  </si>
  <si>
    <t>https://podminky.urs.cz/item/CS_URS_2022_02/342291112</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</si>
  <si>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</si>
  <si>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24*2</t>
  </si>
  <si>
    <t>342291121R</t>
  </si>
  <si>
    <t>Ukotvení příček k cihelným konstrukcím plochými kotvami - viz TZ</t>
  </si>
  <si>
    <t>1085586443</t>
  </si>
  <si>
    <t>Ukotvení příček plochými kotvami, do konstrukce cihelné - viz TZ</t>
  </si>
  <si>
    <t>2 spojky do spáry - 8ks/bm výšky ( v kalkulaci ceny 1 bm jsou 4 kotvy)</t>
  </si>
  <si>
    <t>2,3*2*2</t>
  </si>
  <si>
    <t>3,95*2*(2+2)</t>
  </si>
  <si>
    <t>342291131R</t>
  </si>
  <si>
    <t>Ukotvení příček k betonovým konstrukcím plochými kotvami  - viz TZ</t>
  </si>
  <si>
    <t>2061384413</t>
  </si>
  <si>
    <t>Ukotvení příček plochými kotvami, do konstrukce betonové - viz TZ</t>
  </si>
  <si>
    <t>2,3*2*5</t>
  </si>
  <si>
    <t>3,95*2*5*2</t>
  </si>
  <si>
    <t>342291143</t>
  </si>
  <si>
    <t>Ukotvení příček expanzní cementovou maltou tl příčky přes 100 mm</t>
  </si>
  <si>
    <t>531983802</t>
  </si>
  <si>
    <t>Ukotvení příček expanzní maltou, tl. příčky přes 100 mm</t>
  </si>
  <si>
    <t>https://podminky.urs.cz/item/CS_URS_2022_02/342291143</t>
  </si>
  <si>
    <t>1PP ukončení u stropu</t>
  </si>
  <si>
    <t>24,0</t>
  </si>
  <si>
    <t>Úpravy povrchů, podlahy a osazování výplní</t>
  </si>
  <si>
    <t>612335302</t>
  </si>
  <si>
    <t>Cementová štuková omítka ostění nebo nadpraží</t>
  </si>
  <si>
    <t>-1455041198</t>
  </si>
  <si>
    <t>Cementová omítka ostění nebo nadpraží štuková</t>
  </si>
  <si>
    <t>https://podminky.urs.cz/item/CS_URS_2022_02/612335302</t>
  </si>
  <si>
    <t xml:space="preserve">Poznámka k souboru cen:
1. Ceny lze použít jen pro ocenění samostatně upravovaného ostění a nadpraží ( např. při dodatečné výměně oken nebo zárubní ) v šířce do 300 mm okolo upravovaného otvoru.
</t>
  </si>
  <si>
    <t>(0,6+0,15*2)*2,4*(8+6)</t>
  </si>
  <si>
    <t>615142012</t>
  </si>
  <si>
    <t>Potažení vnitřních nosníků rabicovým pletivem</t>
  </si>
  <si>
    <t>-1024715279</t>
  </si>
  <si>
    <t>Potažení vnitřních ploch pletivem v ploše nebo pruzích, na plném podkladu rabicovým provizorním přichycením nosníků</t>
  </si>
  <si>
    <t>https://podminky.urs.cz/item/CS_URS_2022_02/615142012</t>
  </si>
  <si>
    <t xml:space="preserve">Poznámka k souboru cen:
1. V cenách -2001 jsou započteny i náklady na tmel.
</t>
  </si>
  <si>
    <t>632450124</t>
  </si>
  <si>
    <t>Vyrovnávací cementový potěr tl přes 40 do 50 mm ze suchých směsí provedený v pásu</t>
  </si>
  <si>
    <t>209148025</t>
  </si>
  <si>
    <t>Potěr cementový vyrovnávací ze suchých směsí v pásu o průměrné (střední) tl. přes 40 do 50 mm</t>
  </si>
  <si>
    <t>https://podminky.urs.cz/item/CS_URS_2022_02/632450124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</si>
  <si>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</si>
  <si>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pod zdivo</t>
  </si>
  <si>
    <t>24*0,4</t>
  </si>
  <si>
    <t>941221111</t>
  </si>
  <si>
    <t>Montáž lešení řadového rámového těžkého zatížení do 300 kg/m2 š od 0,9 do 1,2 m v do 10 m</t>
  </si>
  <si>
    <t>-839328093</t>
  </si>
  <si>
    <t>Montáž lešení řadového rámového těžkého pracovního s podlahami s provozním zatížením tř. 4 do 300 kg/m2 šířky tř. SW09 od 0,9 do 1,2 m, výšky do 10 m</t>
  </si>
  <si>
    <t>https://podminky.urs.cz/item/CS_URS_2022_02/941221111</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</si>
  <si>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</si>
  <si>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941221211</t>
  </si>
  <si>
    <t>Příplatek k lešení řadovému rámovému těžkému š 1,2 m v přes 10 do 25 m za první a ZKD den použití</t>
  </si>
  <si>
    <t>710528768</t>
  </si>
  <si>
    <t>Montáž lešení řadového rámového těžkého pracovního s podlahami s provozním zatížením tř. 4 do 300 kg/m2 Příplatek za první a každý další den použití lešení k ceně -1111 nebo -1112</t>
  </si>
  <si>
    <t>https://podminky.urs.cz/item/CS_URS_2022_02/941221211</t>
  </si>
  <si>
    <t>240*30</t>
  </si>
  <si>
    <t>941221811</t>
  </si>
  <si>
    <t>Demontáž lešení řadového rámového těžkého zatížení do 300 kg/m2 š od 0,9 do 1,2 m v do 10 m</t>
  </si>
  <si>
    <t>-1896820952</t>
  </si>
  <si>
    <t>Demontáž lešení řadového rámového těžkého pracovního s provozním zatížením tř. 4 do 300 kg/m2 šířky tř. SW09 od 0,9 do 1,2 m, výšky do 10 m</t>
  </si>
  <si>
    <t>https://podminky.urs.cz/item/CS_URS_2022_02/941221811</t>
  </si>
  <si>
    <t xml:space="preserve">Poznámka k souboru cen:
1. Demontáž lešení řadového rámového těžkého výšky přes 40 m se oceňuje individuálně.
</t>
  </si>
  <si>
    <t>944511111</t>
  </si>
  <si>
    <t>Montáž ochranné sítě z textilie z umělých vláken</t>
  </si>
  <si>
    <t>-130914814</t>
  </si>
  <si>
    <t>Montáž ochranné sítě zavěšené na konstrukci lešení z textilie z umělých vláken</t>
  </si>
  <si>
    <t>https://podminky.urs.cz/item/CS_URS_2022_02/944511111</t>
  </si>
  <si>
    <t xml:space="preserve">Poznámka k souboru cen:
1. V cenách nejsou započteny náklady na lešení potřebné pro zavěšení sítí; toto lešení se oceňuje příslušnými cenami lešení.
</t>
  </si>
  <si>
    <t>944511211</t>
  </si>
  <si>
    <t>Příplatek k ochranné síti za první a ZKD den použití</t>
  </si>
  <si>
    <t>-803980842</t>
  </si>
  <si>
    <t>Montáž ochranné sítě Příplatek za první a každý další den použití sítě k ceně -1111</t>
  </si>
  <si>
    <t>https://podminky.urs.cz/item/CS_URS_2022_02/944511211</t>
  </si>
  <si>
    <t>944511811</t>
  </si>
  <si>
    <t>Demontáž ochranné sítě z textilie z umělých vláken</t>
  </si>
  <si>
    <t>-1031698556</t>
  </si>
  <si>
    <t>Demontáž ochranné sítě zavěšené na konstrukci lešení z textilie z umělých vláken</t>
  </si>
  <si>
    <t>https://podminky.urs.cz/item/CS_URS_2022_02/944511811</t>
  </si>
  <si>
    <t>949101111</t>
  </si>
  <si>
    <t>Lešení pomocné pro objekty pozemních staveb s lešeňovou podlahou v do 1,9 m zatížení do 150 kg/m2</t>
  </si>
  <si>
    <t>-1583918132</t>
  </si>
  <si>
    <t>Lešení pomocné pracovní pro objekty pozemních staveb pro zatížení do 150 kg/m2, o výšce lešeňové podlahy do 1,9 m</t>
  </si>
  <si>
    <t>https://podminky.urs.cz/item/CS_URS_2022_02/949101111</t>
  </si>
  <si>
    <t>24*3*2</t>
  </si>
  <si>
    <t>-1716599020</t>
  </si>
  <si>
    <t>952902121</t>
  </si>
  <si>
    <t>Čištění budov zametení drsných podlah</t>
  </si>
  <si>
    <t>-319687420</t>
  </si>
  <si>
    <t>Čištění budov při provádění oprav a udržovacích prací podlah drsných nebo chodníků zametením</t>
  </si>
  <si>
    <t>https://podminky.urs.cz/item/CS_URS_2022_02/952902121</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</si>
  <si>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</si>
  <si>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24*1,0</t>
  </si>
  <si>
    <t>952902131</t>
  </si>
  <si>
    <t>Čištění budov omytí drsných podlah</t>
  </si>
  <si>
    <t>675302136</t>
  </si>
  <si>
    <t>Čištění budov při provádění oprav a udržovacích prací podlah drsných nebo chodníků omytím</t>
  </si>
  <si>
    <t>https://podminky.urs.cz/item/CS_URS_2022_02/952902131</t>
  </si>
  <si>
    <t>975053141</t>
  </si>
  <si>
    <t>Víceřadové podchycení stropů pro osazení nosníků v do 3,5 m pro zatížení přes 800 do 1500 kg/m2</t>
  </si>
  <si>
    <t>1759337815</t>
  </si>
  <si>
    <t>Víceřadové podchycení stropů pro osazení nosníků dřevěnou výztuhou v. podchycení do 3,5 m a při zatížení hmotností přes 800 do 1500 kg/m2</t>
  </si>
  <si>
    <t>https://podminky.urs.cz/item/CS_URS_2022_02/975053141</t>
  </si>
  <si>
    <t xml:space="preserve">Poznámka k souboru cen:
1. U víceřadového podchycení stropů se každá řada podchycení oceňuje zvlášť.
</t>
  </si>
  <si>
    <t>975058141</t>
  </si>
  <si>
    <t>Příplatek k víceřadovém podchycení stropů pro zatížení přes 800 do 1500 kg/m2 ZKD 1 m přes 3,5 m v podchycení</t>
  </si>
  <si>
    <t>1588279088</t>
  </si>
  <si>
    <t>Víceřadové podchycení stropů pro osazení nosníků dřevěnou výztuhou Příplatek k cenám za každý další 1 m výšky přes 3,50 m a při zatížení hmotností přes 800 do 1500 kg/m2</t>
  </si>
  <si>
    <t>https://podminky.urs.cz/item/CS_URS_2022_02/975058141</t>
  </si>
  <si>
    <t>621926513</t>
  </si>
  <si>
    <t>711</t>
  </si>
  <si>
    <t>Izolace proti vodě, vlhkosti a plynům</t>
  </si>
  <si>
    <t>711111002</t>
  </si>
  <si>
    <t>Provedení izolace proti zemní vlhkosti vodorovné za studena lakem asfaltovým</t>
  </si>
  <si>
    <t>2027484903</t>
  </si>
  <si>
    <t>Provedení izolace proti zemní vlhkosti natěradly a tmely za studena na ploše vodorovné V nátěrem lakem asfaltovým</t>
  </si>
  <si>
    <t>https://podminky.urs.cz/item/CS_URS_2022_02/711111002</t>
  </si>
  <si>
    <t xml:space="preserve">Poznámka k souboru cen:
1. Izolace plochy jednotlivě do 10 m2 se oceňují skladebně cenou příslušné izolace a cenou 711 19-9095 Příplatek za plochu do 10 m2.
</t>
  </si>
  <si>
    <t>0,6*24,2</t>
  </si>
  <si>
    <t>0,6*0,6*5</t>
  </si>
  <si>
    <t>přesah</t>
  </si>
  <si>
    <t>0,6*1,0*2</t>
  </si>
  <si>
    <t>711112002</t>
  </si>
  <si>
    <t>Provedení izolace proti zemní vlhkosti svislé za studena lakem asfaltovým</t>
  </si>
  <si>
    <t>779534656</t>
  </si>
  <si>
    <t>Provedení izolace proti zemní vlhkosti natěradly a tmely za studena na ploše svislé S nátěrem lakem asfaltovým</t>
  </si>
  <si>
    <t>https://podminky.urs.cz/item/CS_URS_2022_02/711112002</t>
  </si>
  <si>
    <t>2,5*24,2</t>
  </si>
  <si>
    <t>2,5*1,0*2</t>
  </si>
  <si>
    <t>11163152</t>
  </si>
  <si>
    <t>lak hydroizolační asfaltový</t>
  </si>
  <si>
    <t>-1254535746</t>
  </si>
  <si>
    <t>17,52+65,5</t>
  </si>
  <si>
    <t>83,02*0,00045 'Přepočtené koeficientem množství</t>
  </si>
  <si>
    <t>711141559</t>
  </si>
  <si>
    <t>Provedení izolace proti zemní vlhkosti pásy přitavením vodorovné NAIP</t>
  </si>
  <si>
    <t>319318010</t>
  </si>
  <si>
    <t>Provedení izolace proti zemní vlhkosti pásy přitavením NAIP na ploše vodorovné V</t>
  </si>
  <si>
    <t>https://podminky.urs.cz/item/CS_URS_2022_02/711141559</t>
  </si>
  <si>
    <t xml:space="preserve">Poznámka k souboru cen:
1. Izolace plochy jednotlivě do 10 m2 se oceňují skladebně cenou příslušné izolace a cenou 711 19-9097 Příplatek za plochu do 10 m2.
</t>
  </si>
  <si>
    <t>17,52*2</t>
  </si>
  <si>
    <t>711142559</t>
  </si>
  <si>
    <t>Provedení izolace proti zemní vlhkosti pásy přitavením svislé NAIP</t>
  </si>
  <si>
    <t>-422022730</t>
  </si>
  <si>
    <t>Provedení izolace proti zemní vlhkosti pásy přitavením NAIP na ploše svislé S</t>
  </si>
  <si>
    <t>https://podminky.urs.cz/item/CS_URS_2022_02/711142559</t>
  </si>
  <si>
    <t>65,5*2</t>
  </si>
  <si>
    <t>Přes detail vnější hrany paty stěny hydroizolaci ztrojit</t>
  </si>
  <si>
    <t>24,2*0,5</t>
  </si>
  <si>
    <t>62855001</t>
  </si>
  <si>
    <t>pás asfaltový natavitelný modifikovaný SBS tl 4,0mm s vložkou z polyesterové rohože a spalitelnou PE fólií nebo jemnozrnným minerálním posypem na horním povrchu</t>
  </si>
  <si>
    <t>-1251043537</t>
  </si>
  <si>
    <t>35,04+131,000+12,</t>
  </si>
  <si>
    <t>178,04*1,2 'Přepočtené koeficientem množství</t>
  </si>
  <si>
    <t>33</t>
  </si>
  <si>
    <t>998711102</t>
  </si>
  <si>
    <t>Přesun hmot tonážní pro izolace proti vodě, vlhkosti a plynům v objektech v přes 6 do 12 m</t>
  </si>
  <si>
    <t>1862991389</t>
  </si>
  <si>
    <t>Přesun hmot pro izolace proti vodě, vlhkosti a plynům stanovený z hmotnosti přesunovaného materiálu vodorovná dopravní vzdálenost do 50 m v objektech výšky přes 6 do 12 m</t>
  </si>
  <si>
    <t>https://podminky.urs.cz/item/CS_URS_2022_02/998711102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</si>
  <si>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</si>
  <si>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34</t>
  </si>
  <si>
    <t>998711181</t>
  </si>
  <si>
    <t>Příplatek k přesunu hmot tonážní 711 prováděný bez použití mechanizace</t>
  </si>
  <si>
    <t>-591268772</t>
  </si>
  <si>
    <t>Přesun hmot pro izolace proti vodě, vlhkosti a plynům stanovený z hmotnosti přesunovaného materiálu Příplatek k cenám za přesun prováděný bez použití mechanizace pro jakoukoliv výšku objektu</t>
  </si>
  <si>
    <t>https://podminky.urs.cz/item/CS_URS_2022_02/998711181</t>
  </si>
  <si>
    <t>713</t>
  </si>
  <si>
    <t>Izolace tepelné</t>
  </si>
  <si>
    <t>35</t>
  </si>
  <si>
    <t>713131141</t>
  </si>
  <si>
    <t>Montáž izolace tepelné stěn a základů lepením celoplošně rohoží, pásů, dílců, desek</t>
  </si>
  <si>
    <t>-246362968</t>
  </si>
  <si>
    <t>Montáž tepelné izolace stěn rohožemi, pásy, deskami, dílci, bloky (izolační materiál ve specifikaci) lepením celoplošně</t>
  </si>
  <si>
    <t>https://podminky.urs.cz/item/CS_URS_2022_02/713131141</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</si>
  <si>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</si>
  <si>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1PP</t>
  </si>
  <si>
    <t>24,2*1,5</t>
  </si>
  <si>
    <t>36</t>
  </si>
  <si>
    <t>28376442</t>
  </si>
  <si>
    <t>deska XPS hrana rovná a strukturovaný povrch 300kPa tl 80mm</t>
  </si>
  <si>
    <t>-1834667452</t>
  </si>
  <si>
    <t>deska z polystyrénu XPS, hrana rovná a strukturovaný povrch 300kPa tl 80mm</t>
  </si>
  <si>
    <t>36,3*1,1 'Přepočtené koeficientem množství</t>
  </si>
  <si>
    <t>37</t>
  </si>
  <si>
    <t>998713102</t>
  </si>
  <si>
    <t>Přesun hmot tonážní pro izolace tepelné v objektech v přes 6 do 12 m</t>
  </si>
  <si>
    <t>-1930093149</t>
  </si>
  <si>
    <t>Přesun hmot pro izolace tepelné stanovený z hmotnosti přesunovaného materiálu vodorovná dopravní vzdálenost do 50 m v objektech výšky přes 6 m do 12 m</t>
  </si>
  <si>
    <t>https://podminky.urs.cz/item/CS_URS_2022_02/998713102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</si>
  <si>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</si>
  <si>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38</t>
  </si>
  <si>
    <t>998713181</t>
  </si>
  <si>
    <t>Příplatek k přesunu hmot tonážní 713 prováděný bez použití mechanizace</t>
  </si>
  <si>
    <t>-449667326</t>
  </si>
  <si>
    <t>Přesun hmot pro izolace tepelné stanovený z hmotnosti přesunovaného materiálu Příplatek k cenám za přesun prováděný bez použití mechanizace pro jakoukoliv výšku objektu</t>
  </si>
  <si>
    <t>https://podminky.urs.cz/item/CS_URS_2022_02/998713181</t>
  </si>
  <si>
    <t>39</t>
  </si>
  <si>
    <t>1445766507</t>
  </si>
  <si>
    <t>E 4 - Oddělení bourané a ponechávané části, bourání bazénu</t>
  </si>
  <si>
    <t xml:space="preserve">    VRN3 - Zařízení staveniště</t>
  </si>
  <si>
    <t xml:space="preserve">    VRN7 - Provozní vlivy</t>
  </si>
  <si>
    <t>964053111</t>
  </si>
  <si>
    <t>Bourání ŽB trámů, průvlaků nebo pásů průřezu do 0,25 m2</t>
  </si>
  <si>
    <t>m3</t>
  </si>
  <si>
    <t>1558582097</t>
  </si>
  <si>
    <t>Bourání samostatných trámů, průvlaků nebo pásů ze železobetonu bez přerušení výztuže, průřezu do 0,25 m2</t>
  </si>
  <si>
    <t>https://podminky.urs.cz/item/CS_URS_2022_02/964053111</t>
  </si>
  <si>
    <t>betonový trám</t>
  </si>
  <si>
    <t>24,63*(0,6*0,4+0,24*1,4)</t>
  </si>
  <si>
    <t>685647070</t>
  </si>
  <si>
    <t>P</t>
  </si>
  <si>
    <t>Poznámka k položce:
Podstojkování stropů</t>
  </si>
  <si>
    <t>-1266867020</t>
  </si>
  <si>
    <t>977211111</t>
  </si>
  <si>
    <t>Řezání stěnovou pilou betonových nebo ŽB kcí s výztuží průměru do 16 mm hl do 200 mm</t>
  </si>
  <si>
    <t>-1868252660</t>
  </si>
  <si>
    <t>Řezání konstrukcí stěnovou pilou betonových nebo železobetonových průměru řezané výztuže do 16 mm hloubka řezu do 200 mm</t>
  </si>
  <si>
    <t>https://podminky.urs.cz/item/CS_URS_2022_02/977211111</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</si>
  <si>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</si>
  <si>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0,85*2</t>
  </si>
  <si>
    <t>977211112</t>
  </si>
  <si>
    <t>Řezání stěnovou pilou betonových nebo ŽB kcí s výztuží průměru do 16 mm hl přes 200 do 350 mm</t>
  </si>
  <si>
    <t>-523998462</t>
  </si>
  <si>
    <t>Řezání konstrukcí stěnovou pilou betonových nebo železobetonových průměru řezané výztuže do 16 mm hloubka řezu přes 200 do 350 mm</t>
  </si>
  <si>
    <t>https://podminky.urs.cz/item/CS_URS_2022_02/977211112</t>
  </si>
  <si>
    <t>Proříznutí spáry ve stropu nad PP</t>
  </si>
  <si>
    <t>24,4</t>
  </si>
  <si>
    <t>spáry ve stěnách PP</t>
  </si>
  <si>
    <t>2,95*2</t>
  </si>
  <si>
    <t>Proříznutí spáry ve stropu nad 1. NP</t>
  </si>
  <si>
    <t>24,63</t>
  </si>
  <si>
    <t>spáry ve stěnách 1. NP</t>
  </si>
  <si>
    <t>2*4,2</t>
  </si>
  <si>
    <t>Proříznutí věnce nad 2. NP-Betonový trám vč. plochých průvlaků</t>
  </si>
  <si>
    <t>24,63+4,2*2+1,4*2</t>
  </si>
  <si>
    <t>977211113</t>
  </si>
  <si>
    <t>Řezání stěnovou pilou betonových nebo ŽB kcí s výztuží průměru do 16 mm hl přes 350 do 420 mm</t>
  </si>
  <si>
    <t>-1914086451</t>
  </si>
  <si>
    <t>Řezání konstrukcí stěnovou pilou betonových nebo železobetonových průměru řezané výztuže do 16 mm hloubka řezu přes 350 do 420 mm</t>
  </si>
  <si>
    <t>https://podminky.urs.cz/item/CS_URS_2022_02/977211113</t>
  </si>
  <si>
    <t>0,6*2</t>
  </si>
  <si>
    <t>981013715</t>
  </si>
  <si>
    <t>Demolice budov ze železobetonu podíl konstrukcí přes 25 do 30 % těžkou mechanizací</t>
  </si>
  <si>
    <t>2027223522</t>
  </si>
  <si>
    <t>Demolice budov těžkými mechanizačními prostředky z monolitického nebo montovaného železobetonu včetně výplňového zdiva, s podílem konstrukcí přes 25 do 30 %</t>
  </si>
  <si>
    <t>https://podminky.urs.cz/item/CS_URS_2022_02/981013715</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</si>
  <si>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</si>
  <si>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24,6*13,6*7,5</t>
  </si>
  <si>
    <t>S</t>
  </si>
  <si>
    <t>doprava strojů pro bourání na stavbu</t>
  </si>
  <si>
    <t>-1903503387</t>
  </si>
  <si>
    <t>997006007</t>
  </si>
  <si>
    <t>Drcení stavebního odpadu ze zdiva z betonu železového s dopravou do 100 m a naložením</t>
  </si>
  <si>
    <t>152641159</t>
  </si>
  <si>
    <t>Úprava stavebního odpadu drcení s dopravou na vzdálenost do 100 m a naložením do drtícího zařízení ze zdiva železobetonového</t>
  </si>
  <si>
    <t>https://podminky.urs.cz/item/CS_URS_2022_02/997006007</t>
  </si>
  <si>
    <t xml:space="preserve">Poznámka k souboru cen:
1. Množství měrných jednotek u ceny -6002 se určuje v t odpadu před roztříděním.
2. V ceně -6003 jsou započteny náklady na pytlování závadného odpadu, např. trusu, dřeva napadeného škůdci nebo hnilobou, apod.
</t>
  </si>
  <si>
    <t>997006511</t>
  </si>
  <si>
    <t>Vodorovná doprava suti s naložením a složením na skládku do 100 m</t>
  </si>
  <si>
    <t>-1696993330</t>
  </si>
  <si>
    <t>Vodorovná doprava suti na skládku s naložením na dopravní prostředek a složením do 100 m</t>
  </si>
  <si>
    <t>https://podminky.urs.cz/item/CS_URS_2022_02/997006511</t>
  </si>
  <si>
    <t xml:space="preserve">Poznámka k souboru cen:
1. Pro volbu ceny je rozhodující dopravní vzdálenost těžiště skládky a půdorysné plochy objektu.
</t>
  </si>
  <si>
    <t>997006512</t>
  </si>
  <si>
    <t>Vodorovné doprava suti s naložením a složením na skládku přes 100 m do 1 km</t>
  </si>
  <si>
    <t>262854915</t>
  </si>
  <si>
    <t>Vodorovná doprava suti na skládku s naložením na dopravní prostředek a složením přes 100 m do 1 km</t>
  </si>
  <si>
    <t>https://podminky.urs.cz/item/CS_URS_2022_02/997006512</t>
  </si>
  <si>
    <t>odvoz přebytečného recyklátu</t>
  </si>
  <si>
    <t>1690,121</t>
  </si>
  <si>
    <t>-486,000*2,5-230,672</t>
  </si>
  <si>
    <t>997006519</t>
  </si>
  <si>
    <t>Příplatek k vodorovnému přemístění suti na skládku ZKD 1 km přes 1 km</t>
  </si>
  <si>
    <t>-647597146</t>
  </si>
  <si>
    <t>Vodorovná doprava suti na skládku Příplatek k ceně -6512 za každý další i započatý 1 km</t>
  </si>
  <si>
    <t>https://podminky.urs.cz/item/CS_URS_2022_02/997006519</t>
  </si>
  <si>
    <t>244,449*19 'Přepočtené koeficientem množství</t>
  </si>
  <si>
    <t>997006551</t>
  </si>
  <si>
    <t>Hrubé urovnání suti na skládce bez zhutnění</t>
  </si>
  <si>
    <t>-843068787</t>
  </si>
  <si>
    <t>https://podminky.urs.cz/item/CS_URS_2022_02/997006551</t>
  </si>
  <si>
    <t xml:space="preserve">Poznámka k souboru cen:
1. Cena nezahrnuje náklady na poplatek za skládku; tyto lze ocenit cenami souboru cen 997 01-38 Poplatek za uložení stavebního odpadu na skládku katalogu 801-3 Budovy a haly - bourání konstrukcí.
</t>
  </si>
  <si>
    <t>1490619836</t>
  </si>
  <si>
    <t>244,449*0,8</t>
  </si>
  <si>
    <t>1319970949</t>
  </si>
  <si>
    <t>244,449*0,2</t>
  </si>
  <si>
    <t>X1</t>
  </si>
  <si>
    <t>doprava a pronájem drtičky po dobu realizace bouracích prací</t>
  </si>
  <si>
    <t>1812963725</t>
  </si>
  <si>
    <t>1649801300</t>
  </si>
  <si>
    <t>013264000</t>
  </si>
  <si>
    <t>Dokumentace bouracích prací</t>
  </si>
  <si>
    <t>618827279</t>
  </si>
  <si>
    <t>https://podminky.urs.cz/item/CS_URS_2022_02/013264000</t>
  </si>
  <si>
    <t>Zhotovitel písemně předloží technologický postup bouracích prací</t>
  </si>
  <si>
    <t>VRN3</t>
  </si>
  <si>
    <t>Zařízení staveniště</t>
  </si>
  <si>
    <t>034103000</t>
  </si>
  <si>
    <t>Oplocení staveniště</t>
  </si>
  <si>
    <t>-2009321889</t>
  </si>
  <si>
    <t>https://podminky.urs.cz/item/CS_URS_2022_02/034103000</t>
  </si>
  <si>
    <t>034603000</t>
  </si>
  <si>
    <t>Alarm, strážní služba staveniště</t>
  </si>
  <si>
    <t>-1827179842</t>
  </si>
  <si>
    <t>https://podminky.urs.cz/item/CS_URS_2022_02/034603000</t>
  </si>
  <si>
    <t>Prostor bude po celou dobu</t>
  </si>
  <si>
    <t>strojního bourání, tj. od zahájení písemným příkazem po ukončení bourání,střežen</t>
  </si>
  <si>
    <t>VRN7</t>
  </si>
  <si>
    <t>Provozní vlivy</t>
  </si>
  <si>
    <t>072103001</t>
  </si>
  <si>
    <t>Projednání DIO a zajištění DIR komunikace II.a III. třídy</t>
  </si>
  <si>
    <t>671688499</t>
  </si>
  <si>
    <t>https://podminky.urs.cz/item/CS_URS_2022_02/072103001</t>
  </si>
  <si>
    <t>072103011</t>
  </si>
  <si>
    <t>Zajištění DIO komunikace II. a III. třídy - jednoduché el. vedení</t>
  </si>
  <si>
    <t>-1350756006</t>
  </si>
  <si>
    <t>https://podminky.urs.cz/item/CS_URS_2022_02/072103011</t>
  </si>
  <si>
    <t>E 5 - Dozdívky a vybourání otvorů v plášti, odstranění pláště střechy</t>
  </si>
  <si>
    <t xml:space="preserve">    712 - Povlakové krytiny</t>
  </si>
  <si>
    <t xml:space="preserve">    762 - Konstrukce tesařské</t>
  </si>
  <si>
    <t xml:space="preserve">    764 - Konstrukce klempířské</t>
  </si>
  <si>
    <t xml:space="preserve">    767 - Konstrukce zámečnické</t>
  </si>
  <si>
    <t>1811226353</t>
  </si>
  <si>
    <t>dozdívky u sloupů</t>
  </si>
  <si>
    <t>2*0,435*3,95*4</t>
  </si>
  <si>
    <t>1051341081</t>
  </si>
  <si>
    <t>1NP</t>
  </si>
  <si>
    <t>1,0*2,0</t>
  </si>
  <si>
    <t>311272211</t>
  </si>
  <si>
    <t>Zdivo z pórobetonových tvárnic hladkých do P2 do 450 kg/m3 na tenkovrstvou maltu tl 300 mm</t>
  </si>
  <si>
    <t>728882409</t>
  </si>
  <si>
    <t>Zdivo z pórobetonových tvárnic na tenké maltové lože, tl. zdiva 300 mm pevnost tvárnic do P2, objemová hmotnost do 450 kg/m3 hladkých</t>
  </si>
  <si>
    <t>https://podminky.urs.cz/item/CS_URS_2022_02/311272211</t>
  </si>
  <si>
    <t>1,0*2,0+0,6*0,6+0,9*0,9*3</t>
  </si>
  <si>
    <t>2NP</t>
  </si>
  <si>
    <t>0,9*0,9*3</t>
  </si>
  <si>
    <t>(1,305+1,2+0,6+1,235)*2,4</t>
  </si>
  <si>
    <t>(3,95-0,9-2,4)*14,24</t>
  </si>
  <si>
    <t>2,4*(6,6+0,6+0,5)</t>
  </si>
  <si>
    <t>(3,95-2,4)*14,3</t>
  </si>
  <si>
    <t>196777730</t>
  </si>
  <si>
    <t>-1258862023</t>
  </si>
  <si>
    <t>6,37*2*(4,0+4,0+2,8+2,8*2+2,2)/1000</t>
  </si>
  <si>
    <t>0,237*1,05 'Přepočtené koeficientem množství</t>
  </si>
  <si>
    <t>317944321</t>
  </si>
  <si>
    <t>Válcované nosníky do č.12 dodatečně osazované do připravených otvorů</t>
  </si>
  <si>
    <t>1703976788</t>
  </si>
  <si>
    <t>Válcované nosníky dodatečně osazované do připravených otvorů bez zazdění hlav do č. 12</t>
  </si>
  <si>
    <t>https://podminky.urs.cz/item/CS_URS_2022_02/317944321</t>
  </si>
  <si>
    <t xml:space="preserve">Poznámka k souboru cen:
1. V cenách jsou zahrnuty náklady na dodávku a montáž válcovaných nosníků.
2. Ceny jsou určeny pouze pro ocenění konstrukce překladů nad otvory.
</t>
  </si>
  <si>
    <t>2xIPN 120</t>
  </si>
  <si>
    <t>2*1,5*11,1/1000*1,05</t>
  </si>
  <si>
    <t>4xIPN 120</t>
  </si>
  <si>
    <t>4*2,5*11,1/1000*1,05</t>
  </si>
  <si>
    <t>4*2,6*11,1/1000*1,05</t>
  </si>
  <si>
    <t>4*1,9*11,1/1000*1,05</t>
  </si>
  <si>
    <t>Ukotvení příček k betonovým konstrukcím plochými kotvami - viz TZ</t>
  </si>
  <si>
    <t>-2011846262</t>
  </si>
  <si>
    <t>kotvení dozdívek na sloupy</t>
  </si>
  <si>
    <t>3,95*2*(4+3)</t>
  </si>
  <si>
    <t>3,95*2*4</t>
  </si>
  <si>
    <t>-1741577620</t>
  </si>
  <si>
    <t>14,24+14,24</t>
  </si>
  <si>
    <t>349231811</t>
  </si>
  <si>
    <t>Přizdívka ostění s ozubem z cihel tl přes 80 do 150 mm</t>
  </si>
  <si>
    <t>408190543</t>
  </si>
  <si>
    <t>Přizdívka z cihel ostění s ozubem ve vybouraných otvorech, s vysekáním kapes pro zavázaní přes 80 do 150 mm</t>
  </si>
  <si>
    <t>https://podminky.urs.cz/item/CS_URS_2022_02/349231811</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</si>
  <si>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</si>
  <si>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0,7*2,15</t>
  </si>
  <si>
    <t>219348590</t>
  </si>
  <si>
    <t>(0,3+0,15*2)*(1,1+2,1*2+2,1*2)</t>
  </si>
  <si>
    <t>(0,3+0,15*2)*(3,6*2+2,4+2,4*2+1,8+1,5*2)</t>
  </si>
  <si>
    <t>1485045961</t>
  </si>
  <si>
    <t>629135102</t>
  </si>
  <si>
    <t>Vyrovnávací vrstva pod klempířské prvky z MC š přes 150 do 300 mm</t>
  </si>
  <si>
    <t>881174797</t>
  </si>
  <si>
    <t>Vyrovnávací vrstva z cementové malty pod klempířskými prvky šířky přes 150 do 300 mm</t>
  </si>
  <si>
    <t>https://podminky.urs.cz/item/CS_URS_2022_02/629135102</t>
  </si>
  <si>
    <t>Horní hranu /parapety/ po odbourání začistit zednicky</t>
  </si>
  <si>
    <t>3,6+3,6+2,4+2,4+2,4+1,8</t>
  </si>
  <si>
    <t>-1774551761</t>
  </si>
  <si>
    <t>10*(15+16+7)</t>
  </si>
  <si>
    <t>1470460529</t>
  </si>
  <si>
    <t>380,000*30</t>
  </si>
  <si>
    <t>785523719</t>
  </si>
  <si>
    <t>1950151232</t>
  </si>
  <si>
    <t>-1899815938</t>
  </si>
  <si>
    <t>-2129932090</t>
  </si>
  <si>
    <t>-1187617237</t>
  </si>
  <si>
    <t>24*13,7</t>
  </si>
  <si>
    <t>-785754734</t>
  </si>
  <si>
    <t>961044111</t>
  </si>
  <si>
    <t>Bourání základů z betonu prostého</t>
  </si>
  <si>
    <t>-906859426</t>
  </si>
  <si>
    <t>Bourání základů z betonu prostého</t>
  </si>
  <si>
    <t>https://podminky.urs.cz/item/CS_URS_2022_02/961044111</t>
  </si>
  <si>
    <t>střecha - podklady trámů  - odhad</t>
  </si>
  <si>
    <t>962042521</t>
  </si>
  <si>
    <t>Bourání zdiva nadzákladového z lehčeného betonu přes 1 m3</t>
  </si>
  <si>
    <t>-1077039931</t>
  </si>
  <si>
    <t>Bourání zdiva z lehčeného betonu nadzákladového objemu přes 1 m3</t>
  </si>
  <si>
    <t>https://podminky.urs.cz/item/CS_URS_2022_02/962042521</t>
  </si>
  <si>
    <t>strojovna VZT</t>
  </si>
  <si>
    <t>0,15*(12,2+3,6*2)*0,45</t>
  </si>
  <si>
    <t>0,3*(3,05*(12,2*2+3,6*2)-0,9*0,9*2-1,55*2,05)</t>
  </si>
  <si>
    <t>962052211</t>
  </si>
  <si>
    <t>Bourání zdiva nadzákladového ze ŽB přes 1 m3</t>
  </si>
  <si>
    <t>-1933990151</t>
  </si>
  <si>
    <t>Bourání zdiva železobetonového nadzákladového, objemu přes 1 m3</t>
  </si>
  <si>
    <t>https://podminky.urs.cz/item/CS_URS_2022_02/962052211</t>
  </si>
  <si>
    <t xml:space="preserve">Poznámka k souboru cen:
1. Bourání pilířů o průřezu přes 0,36 m2 se oceňuje cenami - 2210 a -2211 jako bourání zdiva nadzákladového železobetonového.
</t>
  </si>
  <si>
    <t>plášť</t>
  </si>
  <si>
    <t>0,3*(14,24*2,8-0,9*0,9*8)</t>
  </si>
  <si>
    <t>0,3*(14,3*2,8-5,4*0,9*2-1,8*0,9)</t>
  </si>
  <si>
    <t>ubourání atiky</t>
  </si>
  <si>
    <t>0,85*0,2*12,1</t>
  </si>
  <si>
    <t>podstavce VZT</t>
  </si>
  <si>
    <t>1,25*0,95*0,1*3+0,15*0,5*(1,25*2+0,95*2)*3</t>
  </si>
  <si>
    <t>963012510</t>
  </si>
  <si>
    <t>Bourání stropů z ŽB desek š do 300 mm tl do 140 mm</t>
  </si>
  <si>
    <t>-1250693481</t>
  </si>
  <si>
    <t>Bourání stropů z desek nebo panelů železobetonových prefabrikovaných s dutinami z desek, š. do 300 mm tl. do 140 mm</t>
  </si>
  <si>
    <t>https://podminky.urs.cz/item/CS_URS_2022_02/963012510</t>
  </si>
  <si>
    <t xml:space="preserve">Poznámka k souboru cen:
1. Bourání stropů z panelů plných se oceňuje cenami souboru cen 963 05-1 . Bourání železobetonových stropů.
</t>
  </si>
  <si>
    <t>12,5*3,6*0,1</t>
  </si>
  <si>
    <t>965045113</t>
  </si>
  <si>
    <t>Bourání potěrů cementových nebo pískocementových tl do 50 mm pl přes 4 m2</t>
  </si>
  <si>
    <t>-816006637</t>
  </si>
  <si>
    <t>Bourání potěrů tl. do 50 mm cementových nebo pískocementových, plochy přes 4 m2</t>
  </si>
  <si>
    <t>https://podminky.urs.cz/item/CS_URS_2022_02/965045113</t>
  </si>
  <si>
    <t>3,6*11,6</t>
  </si>
  <si>
    <t>968072354</t>
  </si>
  <si>
    <t>Vybourání kovových rámů oken zdvojených včetně křídel pl do 1 m2</t>
  </si>
  <si>
    <t>915924865</t>
  </si>
  <si>
    <t>Vybourání kovových rámů oken s křídly, dveřních zárubní, vrat, stěn, ostění nebo obkladů okenních rámů s křídly zdvojených, plochy do 1 m2</t>
  </si>
  <si>
    <t>https://podminky.urs.cz/item/CS_URS_2022_02/968072354</t>
  </si>
  <si>
    <t xml:space="preserve">Poznámka k souboru cen:
1. V cenách -2244 až -2559 jsou započteny i náklady na vyvěšení křídel.
2. Cenou -2641 se oceňuje i vybourání nosné ocelové konstrukce pro sádrokartonové příčky.
</t>
  </si>
  <si>
    <t>0,9*0,9*2</t>
  </si>
  <si>
    <t>968072455</t>
  </si>
  <si>
    <t>Vybourání kovových dveřních zárubní pl do 2 m2</t>
  </si>
  <si>
    <t>1252732137</t>
  </si>
  <si>
    <t>Vybourání kovových rámů oken s křídly, dveřních zárubní, vrat, stěn, ostění nebo obkladů dveřních zárubní, plochy do 2 m2</t>
  </si>
  <si>
    <t>https://podminky.urs.cz/item/CS_URS_2022_02/968072455</t>
  </si>
  <si>
    <t>0,8*2,0*2</t>
  </si>
  <si>
    <t>968072456</t>
  </si>
  <si>
    <t>Vybourání kovových dveřních zárubní pl přes 2 m2</t>
  </si>
  <si>
    <t>-379045432</t>
  </si>
  <si>
    <t>Vybourání kovových rámů oken s křídly, dveřních zárubní, vrat, stěn, ostění nebo obkladů dveřních zárubní, plochy přes 2 m2</t>
  </si>
  <si>
    <t>https://podminky.urs.cz/item/CS_URS_2022_02/968072456</t>
  </si>
  <si>
    <t>1,55*2,05</t>
  </si>
  <si>
    <t>968082015</t>
  </si>
  <si>
    <t>Vybourání plastových rámů oken včetně křídel plochy do 1 m2</t>
  </si>
  <si>
    <t>1816694222</t>
  </si>
  <si>
    <t>Vybourání plastových rámů oken s křídly, dveřních zárubní, vrat rámu oken s křídly, plochy do 1 m2</t>
  </si>
  <si>
    <t>https://podminky.urs.cz/item/CS_URS_2022_02/968082015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</si>
  <si>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</si>
  <si>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0,9*0,9*8</t>
  </si>
  <si>
    <t>968082016</t>
  </si>
  <si>
    <t>Vybourání plastových rámů oken včetně křídel plochy přes 1 do 2 m2</t>
  </si>
  <si>
    <t>-595818246</t>
  </si>
  <si>
    <t>Vybourání plastových rámů oken s křídly, dveřních zárubní, vrat rámu oken s křídly, plochy přes 1 do 2 m2</t>
  </si>
  <si>
    <t>https://podminky.urs.cz/item/CS_URS_2022_02/968082016</t>
  </si>
  <si>
    <t>1,8*0,9</t>
  </si>
  <si>
    <t>968082018</t>
  </si>
  <si>
    <t>Vybourání plastových rámů oken včetně křídel plochy přes 4 m2</t>
  </si>
  <si>
    <t>262802797</t>
  </si>
  <si>
    <t>Vybourání plastových rámů oken s křídly, dveřních zárubní, vrat rámu oken s křídly, plochy přes 4 m2</t>
  </si>
  <si>
    <t>https://podminky.urs.cz/item/CS_URS_2022_02/968082018</t>
  </si>
  <si>
    <t>5,4*0,9*2</t>
  </si>
  <si>
    <t>971033631</t>
  </si>
  <si>
    <t>Vybourání otvorů ve zdivu cihelném pl do 4 m2 na MVC nebo MV tl do 150 mm</t>
  </si>
  <si>
    <t>1693580224</t>
  </si>
  <si>
    <t>Vybourání otvorů ve zdivu základovém nebo nadzákladovém z cihel, tvárnic, příčkovek z cihel pálených na maltu vápennou nebo vápenocementovou plochy do 4 m2, tl. do 150 mm</t>
  </si>
  <si>
    <t>https://podminky.urs.cz/item/CS_URS_2022_02/971033631</t>
  </si>
  <si>
    <t>1,4*2-0,8*2</t>
  </si>
  <si>
    <t>971033641</t>
  </si>
  <si>
    <t>Vybourání otvorů ve zdivu cihelném pl do 4 m2 na MVC nebo MV tl do 300 mm</t>
  </si>
  <si>
    <t>995590900</t>
  </si>
  <si>
    <t>Vybourání otvorů ve zdivu základovém nebo nadzákladovém z cihel, tvárnic, příčkovek z cihel pálených na maltu vápennou nebo vápenocementovou plochy do 4 m2, tl. do 300 mm</t>
  </si>
  <si>
    <t>https://podminky.urs.cz/item/CS_URS_2022_02/971033641</t>
  </si>
  <si>
    <t>1,1*2,1</t>
  </si>
  <si>
    <t>971052651</t>
  </si>
  <si>
    <t>Vybourání nebo prorážení otvorů v ŽB příčkách a zdech pl do 4 m2 tl do 600 mm</t>
  </si>
  <si>
    <t>-312023315</t>
  </si>
  <si>
    <t>Vybourání a prorážení otvorů v železobetonových příčkách a zdech základových nebo nadzákladových, plochy do 4 m2, tl. do 600 mm</t>
  </si>
  <si>
    <t>https://podminky.urs.cz/item/CS_URS_2022_02/971052651</t>
  </si>
  <si>
    <t>2,1*2,15*0,3</t>
  </si>
  <si>
    <t>2,1*2,15*0,25</t>
  </si>
  <si>
    <t>(2,1*2,15-1,4*2,0)*0,3</t>
  </si>
  <si>
    <t>(2,1*2,15-1,4*2,0)*0,25</t>
  </si>
  <si>
    <t>2MP</t>
  </si>
  <si>
    <t>0,25*0,7*2,0</t>
  </si>
  <si>
    <t>973031335</t>
  </si>
  <si>
    <t>Vysekání kapes ve zdivu cihelném na MV nebo MVC pl do 0,16 m2 hl do 300 mm</t>
  </si>
  <si>
    <t>-476299161</t>
  </si>
  <si>
    <t>Vysekání výklenků nebo kapes ve zdivu z cihel na maltu vápennou nebo vápenocementovou kapes, plochy do 0,16 m2, hl. do 300 mm</t>
  </si>
  <si>
    <t>https://podminky.urs.cz/item/CS_URS_2022_02/973031335</t>
  </si>
  <si>
    <t>2+4*2</t>
  </si>
  <si>
    <t>4+1</t>
  </si>
  <si>
    <t>2047191515</t>
  </si>
  <si>
    <t>při pochybnotech o uložení panelů</t>
  </si>
  <si>
    <t>14*2</t>
  </si>
  <si>
    <t>843654952</t>
  </si>
  <si>
    <t>978011191</t>
  </si>
  <si>
    <t>Otlučení (osekání) vnitřní vápenné nebo vápenocementové omítky stropů v rozsahu přes 50 do 100 %</t>
  </si>
  <si>
    <t>835690271</t>
  </si>
  <si>
    <t>Otlučení vápenných nebo vápenocementových omítek vnitřních ploch stropů, v rozsahu přes 50 do 100 %</t>
  </si>
  <si>
    <t>https://podminky.urs.cz/item/CS_URS_2022_02/978011191</t>
  </si>
  <si>
    <t xml:space="preserve">Poznámka k souboru cen:
1. Položky lze použít i pro ocenění otlučení sádrových, hliněných apod. vnitřních omítek.
</t>
  </si>
  <si>
    <t>-771388568</t>
  </si>
  <si>
    <t>12,235</t>
  </si>
  <si>
    <t>40</t>
  </si>
  <si>
    <t>1376900651</t>
  </si>
  <si>
    <t>41</t>
  </si>
  <si>
    <t>985112132</t>
  </si>
  <si>
    <t>Odsekání degradovaného betonu rubu kleneb a podlah tl přes 10 do 30 mm</t>
  </si>
  <si>
    <t>-1024434723</t>
  </si>
  <si>
    <t>Odsekání degradovaného betonu rubu kleneb a podlah, tloušťky přes 10 do 30 mm</t>
  </si>
  <si>
    <t>https://podminky.urs.cz/item/CS_URS_2022_02/985112132</t>
  </si>
  <si>
    <t>49,876</t>
  </si>
  <si>
    <t>42</t>
  </si>
  <si>
    <t>985112133</t>
  </si>
  <si>
    <t>Odsekání degradovaného betonu rubu kleneb a podlah tl přes 30 do 50 mm</t>
  </si>
  <si>
    <t>356387070</t>
  </si>
  <si>
    <t>Odsekání degradovaného betonu rubu kleneb a podlah, tloušťky přes 30 do 50 mm</t>
  </si>
  <si>
    <t>https://podminky.urs.cz/item/CS_URS_2022_02/985112133</t>
  </si>
  <si>
    <t>43</t>
  </si>
  <si>
    <t>525078066</t>
  </si>
  <si>
    <t>44</t>
  </si>
  <si>
    <t>-2002290015</t>
  </si>
  <si>
    <t>45</t>
  </si>
  <si>
    <t>985139112</t>
  </si>
  <si>
    <t>Příplatek k očištění ploch za plochu do 10 m2 jednotlivě</t>
  </si>
  <si>
    <t>-505879628</t>
  </si>
  <si>
    <t>Očištění ploch Příplatek k cenám za plochu do 10 m2 jednotlivě</t>
  </si>
  <si>
    <t>https://podminky.urs.cz/item/CS_URS_2022_02/985139112</t>
  </si>
  <si>
    <t>46</t>
  </si>
  <si>
    <t>1648600104</t>
  </si>
  <si>
    <t>atika - odhad projektanta - 15%</t>
  </si>
  <si>
    <t>(0,85+0,2)*(24,6*2+14,24*2)*0,15</t>
  </si>
  <si>
    <t>47</t>
  </si>
  <si>
    <t>-1647203317</t>
  </si>
  <si>
    <t>atika - odhad projektanta - 20%</t>
  </si>
  <si>
    <t>(0,85+0,2)*(24,6*2+14,24*2)*0,20</t>
  </si>
  <si>
    <t>48</t>
  </si>
  <si>
    <t>985311312</t>
  </si>
  <si>
    <t>Reprofilace rubu kleneb a podlah cementovou sanační maltou tl přes 10 do 20 mm</t>
  </si>
  <si>
    <t>877023321</t>
  </si>
  <si>
    <t>Reprofilace betonu sanačními maltami na cementové bázi ručně rubu kleneb a podlah, tloušťky přes 10 do 20 mm</t>
  </si>
  <si>
    <t>https://podminky.urs.cz/item/CS_URS_2022_02/985311312</t>
  </si>
  <si>
    <t>střecha - odhad projektanta - 15%</t>
  </si>
  <si>
    <t>24,2*13,74*0,15</t>
  </si>
  <si>
    <t>49</t>
  </si>
  <si>
    <t>985311314</t>
  </si>
  <si>
    <t>Reprofilace rubu kleneb a podlah cementovou sanační maltou tl přes 30 do 40 mm</t>
  </si>
  <si>
    <t>-1504404668</t>
  </si>
  <si>
    <t>Reprofilace betonu sanačními maltami na cementové bázi ručně rubu kleneb a podlah, tloušťky přes 30 do 40 mm</t>
  </si>
  <si>
    <t>https://podminky.urs.cz/item/CS_URS_2022_02/985311314</t>
  </si>
  <si>
    <t>střecha - odhad projektanta - 20%</t>
  </si>
  <si>
    <t>24,2*13,74*0,2</t>
  </si>
  <si>
    <t>50</t>
  </si>
  <si>
    <t>-666467835</t>
  </si>
  <si>
    <t>16,313</t>
  </si>
  <si>
    <t>51</t>
  </si>
  <si>
    <t>985321112</t>
  </si>
  <si>
    <t>Ochranný nátěr výztuže na cementové bázi rubu kleneb a podlah 1 vrstva tl 1 mm</t>
  </si>
  <si>
    <t>409832034</t>
  </si>
  <si>
    <t>Ochranný nátěr betonářské výztuže 1 vrstva tloušťky 1 mm na cementové bázi rubu kleneb a podlah</t>
  </si>
  <si>
    <t>https://podminky.urs.cz/item/CS_URS_2022_02/985321112</t>
  </si>
  <si>
    <t>52</t>
  </si>
  <si>
    <t>2086125746</t>
  </si>
  <si>
    <t>66,502+49,876</t>
  </si>
  <si>
    <t>16,313+12,235</t>
  </si>
  <si>
    <t>53</t>
  </si>
  <si>
    <t>-429473869</t>
  </si>
  <si>
    <t>(16,313+66,52)/2*0,25*5</t>
  </si>
  <si>
    <t>54</t>
  </si>
  <si>
    <t>-484636723</t>
  </si>
  <si>
    <t>51,771*0,888*1,1/1000</t>
  </si>
  <si>
    <t>55</t>
  </si>
  <si>
    <t>1955930642</t>
  </si>
  <si>
    <t>56</t>
  </si>
  <si>
    <t>-1856953132</t>
  </si>
  <si>
    <t>203,288*2 'Přepočtené koeficientem množství</t>
  </si>
  <si>
    <t>57</t>
  </si>
  <si>
    <t>235457348</t>
  </si>
  <si>
    <t>58</t>
  </si>
  <si>
    <t>-86978098</t>
  </si>
  <si>
    <t>203,288*19 'Přepočtené koeficientem množství</t>
  </si>
  <si>
    <t>59</t>
  </si>
  <si>
    <t>997013813</t>
  </si>
  <si>
    <t>Poplatek za uložení na skládce (skládkovné) stavebního odpadu z plastických hmot kód odpadu 17 02 03</t>
  </si>
  <si>
    <t>285168761</t>
  </si>
  <si>
    <t>Poplatek za uložení stavebního odpadu na skládce (skládkovné) z plastických hmot zatříděného do Katalogu odpadů pod kódem 17 02 03</t>
  </si>
  <si>
    <t>https://podminky.urs.cz/item/CS_URS_2022_02/997013813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</si>
  <si>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</si>
  <si>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0,473+0,096+0,418</t>
  </si>
  <si>
    <t>60</t>
  </si>
  <si>
    <t>997013814</t>
  </si>
  <si>
    <t>Poplatek za uložení na skládce (skládkovné) stavebního odpadu izolací kód odpadu 17 06 04</t>
  </si>
  <si>
    <t>2120993616</t>
  </si>
  <si>
    <t>Poplatek za uložení stavebního odpadu na skládce (skládkovné) z izolačních materiálů zatříděného do Katalogu odpadů pod kódem 17 06 04</t>
  </si>
  <si>
    <t>https://podminky.urs.cz/item/CS_URS_2022_02/997013814</t>
  </si>
  <si>
    <t>4,365+21,046</t>
  </si>
  <si>
    <t>61</t>
  </si>
  <si>
    <t>997013847</t>
  </si>
  <si>
    <t>Poplatek za uložení na skládce (skládkovné) odpadu asfaltového s dehtem kód odpadu 17 03 01</t>
  </si>
  <si>
    <t>-1458293187</t>
  </si>
  <si>
    <t>Poplatek za uložení stavebního odpadu na skládce (skládkovné) asfaltového s obsahem dehtu zatříděného do Katalogu odpadů pod kódem 17 03 01</t>
  </si>
  <si>
    <t>https://podminky.urs.cz/item/CS_URS_2022_02/997013847</t>
  </si>
  <si>
    <t>62</t>
  </si>
  <si>
    <t>997013862</t>
  </si>
  <si>
    <t>Poplatek za uložení stavebního odpadu na recyklační skládce (skládkovné) z armovaného betonu kód odpadu 17 01 01</t>
  </si>
  <si>
    <t>220118938</t>
  </si>
  <si>
    <t>Poplatek za uložení stavebního odpadu na recyklační skládce (skládkovné) z armovaného betonu zatříděného do Katalogu odpadů pod kódem 17 01 01</t>
  </si>
  <si>
    <t>https://podminky.urs.cz/item/CS_URS_2022_02/997013862</t>
  </si>
  <si>
    <t>189,145</t>
  </si>
  <si>
    <t>-0,987-25,411-7,235-5,412-3,449</t>
  </si>
  <si>
    <t>63</t>
  </si>
  <si>
    <t>997013867</t>
  </si>
  <si>
    <t>Poplatek za uložení stavebního odpadu na recyklační skládce (skládkovné) z tašek a keramických výrobků kód odpadu 17 01 03</t>
  </si>
  <si>
    <t>-1411837764</t>
  </si>
  <si>
    <t>Poplatek za uložení stavebního odpadu na recyklační skládce (skládkovné) z tašek a keramických výrobků zatříděného do Katalogu odpadů pod kódem 17 01 03</t>
  </si>
  <si>
    <t>https://podminky.urs.cz/item/CS_URS_2022_02/997013867</t>
  </si>
  <si>
    <t>0,324+4,158+0,93</t>
  </si>
  <si>
    <t>64</t>
  </si>
  <si>
    <t>-251097515</t>
  </si>
  <si>
    <t>0,396+0,378</t>
  </si>
  <si>
    <t>0,144+0,243+0,2+2,088</t>
  </si>
  <si>
    <t>65</t>
  </si>
  <si>
    <t>1221561333</t>
  </si>
  <si>
    <t>712</t>
  </si>
  <si>
    <t>Povlakové krytiny</t>
  </si>
  <si>
    <t>66</t>
  </si>
  <si>
    <t>712340833</t>
  </si>
  <si>
    <t>Odstranění povlakové krytiny střech do 10° z pásů NAIP přitavených v plné ploše třívrstvé</t>
  </si>
  <si>
    <t>1966809609</t>
  </si>
  <si>
    <t>Odstranění povlakové krytiny střech plochých do 10° z přitavených pásů NAIP v plné ploše třívrstvé</t>
  </si>
  <si>
    <t>https://podminky.urs.cz/item/CS_URS_2022_02/712340833</t>
  </si>
  <si>
    <t>12,2*3,6+(0,5+0,15)*(12,2+3,6*2)</t>
  </si>
  <si>
    <t>střecha</t>
  </si>
  <si>
    <t>24,2*11,835-12,2*3,6+24,6*1,9</t>
  </si>
  <si>
    <t>(0,2+0,3)*(24,76*2+12,335*2-12,2+1,9*2)</t>
  </si>
  <si>
    <t>67</t>
  </si>
  <si>
    <t>712340834</t>
  </si>
  <si>
    <t>Příplatek k odstranění povlakové krytiny střech do 10° z pásů NAIP přitavených v plné ploše ZKD vrstvu</t>
  </si>
  <si>
    <t>-450095080</t>
  </si>
  <si>
    <t>Odstranění povlakové krytiny střech plochých do 10° z přitavených pásů NAIP v plné ploše Příplatek k ceně - 0833 za každou další vrstvu</t>
  </si>
  <si>
    <t>https://podminky.urs.cz/item/CS_URS_2022_02/712340834</t>
  </si>
  <si>
    <t>68</t>
  </si>
  <si>
    <t>712300845</t>
  </si>
  <si>
    <t>Demontáž ventilační hlavice na ploché střeše sklonu do 10°</t>
  </si>
  <si>
    <t>743854414</t>
  </si>
  <si>
    <t>Ostatní práce při odstranění povlakové krytiny střech plochých do 10° doplňků ventilační hlavice</t>
  </si>
  <si>
    <t>https://podminky.urs.cz/item/CS_URS_2022_02/712300845</t>
  </si>
  <si>
    <t>69</t>
  </si>
  <si>
    <t>713140814</t>
  </si>
  <si>
    <t>Odstranění tepelné izolace střech nadstřešní volně kladené z vláknitých materiálů nasáklých vodou tl přes 100 mm</t>
  </si>
  <si>
    <t>-595072806</t>
  </si>
  <si>
    <t>Odstranění tepelné izolace střech plochých z rohoží, pásů, dílců, desek, bloků nadstřešních izolací volně položených z vláknitých materiálů nasáklých vodou, tloušťka izolace přes 100 mm</t>
  </si>
  <si>
    <t>https://podminky.urs.cz/item/CS_URS_2022_02/713140814</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</si>
  <si>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</si>
  <si>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70</t>
  </si>
  <si>
    <t>713140823</t>
  </si>
  <si>
    <t>Odstranění tepelné izolace střech nadstřešní volně kladené z polystyrenu suchého tl přes 100 mm</t>
  </si>
  <si>
    <t>-1826110639</t>
  </si>
  <si>
    <t>Odstranění tepelné izolace střech plochých z rohoží, pásů, dílců, desek, bloků nadstřešních izolací volně položených z polystyrenu suchého, tloušťka izolace přes 100 mm</t>
  </si>
  <si>
    <t>https://podminky.urs.cz/item/CS_URS_2022_02/713140823</t>
  </si>
  <si>
    <t>762</t>
  </si>
  <si>
    <t>Konstrukce tesařské</t>
  </si>
  <si>
    <t>71</t>
  </si>
  <si>
    <t>762331813</t>
  </si>
  <si>
    <t>Demontáž vázaných kcí krovů z hranolů průřezové pl přes 224 do 288 cm2</t>
  </si>
  <si>
    <t>-1719325553</t>
  </si>
  <si>
    <t>Demontáž vázaných konstrukcí krovů sklonu do 60° z hranolů, hranolků, fošen, průřezové plochy přes 224 do 288 cm2</t>
  </si>
  <si>
    <t>https://podminky.urs.cz/item/CS_URS_2022_02/762331813</t>
  </si>
  <si>
    <t>odhad - 0,8 bm/m2</t>
  </si>
  <si>
    <t>(24,2*11,835-12,2*3,6+24,6*1,9)*0,8</t>
  </si>
  <si>
    <t>72</t>
  </si>
  <si>
    <t>762341832</t>
  </si>
  <si>
    <t>Demontáž bednění střech z desek tvrdých</t>
  </si>
  <si>
    <t>-1375305350</t>
  </si>
  <si>
    <t>Demontáž bednění a laťování bednění střech rovných, obloukových, sklonu do 60° se všemi nadstřešními konstrukcemi z desek tvrdých (cementotřískových, dřevoštěpkových apod.)</t>
  </si>
  <si>
    <t>https://podminky.urs.cz/item/CS_URS_2022_02/762341832</t>
  </si>
  <si>
    <t>764</t>
  </si>
  <si>
    <t>Konstrukce klempířské</t>
  </si>
  <si>
    <t>73</t>
  </si>
  <si>
    <t>764002821</t>
  </si>
  <si>
    <t>Demontáž střešního výlezu do suti</t>
  </si>
  <si>
    <t>-290882139</t>
  </si>
  <si>
    <t>Demontáž klempířských konstrukcí střešního výlezu do suti</t>
  </si>
  <si>
    <t>https://podminky.urs.cz/item/CS_URS_2022_02/764002821</t>
  </si>
  <si>
    <t>74</t>
  </si>
  <si>
    <t>764002841</t>
  </si>
  <si>
    <t>Demontáž oplechování horních ploch zdí a nadezdívek do suti</t>
  </si>
  <si>
    <t>-1978256922</t>
  </si>
  <si>
    <t>Demontáž klempířských konstrukcí oplechování horních ploch zdí a nadezdívek do suti</t>
  </si>
  <si>
    <t>https://podminky.urs.cz/item/CS_URS_2022_02/764002841</t>
  </si>
  <si>
    <t>24,9*2+12,5*2-12,2+1,9*2</t>
  </si>
  <si>
    <t>12,5+3,76*2</t>
  </si>
  <si>
    <t>75</t>
  </si>
  <si>
    <t>764002851</t>
  </si>
  <si>
    <t>Demontáž oplechování parapetů do suti</t>
  </si>
  <si>
    <t>433863007</t>
  </si>
  <si>
    <t>Demontáž klempířských konstrukcí oplechování parapetů do suti</t>
  </si>
  <si>
    <t>https://podminky.urs.cz/item/CS_URS_2022_02/764002851</t>
  </si>
  <si>
    <t>0,9*6+0,6+0,9*3+0,6</t>
  </si>
  <si>
    <t>0,9*8+5,4*2+1,8+0,9*3</t>
  </si>
  <si>
    <t>76</t>
  </si>
  <si>
    <t>764002881</t>
  </si>
  <si>
    <t>Demontáž lemování střešních prostupů do suti</t>
  </si>
  <si>
    <t>234100058</t>
  </si>
  <si>
    <t>Demontáž klempířských konstrukcí lemování střešních prostupů do suti</t>
  </si>
  <si>
    <t>https://podminky.urs.cz/item/CS_URS_2022_02/764002881</t>
  </si>
  <si>
    <t>světlíky</t>
  </si>
  <si>
    <t>(1,5*2+1,1*2)*0,5*6</t>
  </si>
  <si>
    <t>podstavec VZT</t>
  </si>
  <si>
    <t>(1,25*2+0,95*2)*3*0,5+1,25*0,95*3</t>
  </si>
  <si>
    <t>767</t>
  </si>
  <si>
    <t>Konstrukce zámečnické</t>
  </si>
  <si>
    <t>77</t>
  </si>
  <si>
    <t>767311831</t>
  </si>
  <si>
    <t>Demontáž světlíků bodových s umělohmotnou výplní</t>
  </si>
  <si>
    <t>1016171718</t>
  </si>
  <si>
    <t>Demontáž světlíků s umělohmotnou výplní bodových</t>
  </si>
  <si>
    <t>https://podminky.urs.cz/item/CS_URS_2022_02/767311831</t>
  </si>
  <si>
    <t xml:space="preserve">Poznámka k souboru cen:
1. Měrná jednotka se určuje v m2 půdorysné plochy světlíků.
2. Cena obsahuje i náklady na demontáž manžety.
</t>
  </si>
  <si>
    <t>1,5*1,1*6</t>
  </si>
  <si>
    <t>78</t>
  </si>
  <si>
    <t>767321810</t>
  </si>
  <si>
    <t>Demontáž podsvětlíků a zasklení</t>
  </si>
  <si>
    <t>-483038033</t>
  </si>
  <si>
    <t>Demontáž podsvětlíků se zasklením</t>
  </si>
  <si>
    <t>https://podminky.urs.cz/item/CS_URS_2022_02/767321810</t>
  </si>
  <si>
    <t>79</t>
  </si>
  <si>
    <t>-2108992511</t>
  </si>
  <si>
    <t>E 6 - Provedení střechy po parozábranu</t>
  </si>
  <si>
    <t>1278737219</t>
  </si>
  <si>
    <t>dozdění atiky</t>
  </si>
  <si>
    <t>0,85*(1,705+5,305)</t>
  </si>
  <si>
    <t>631319013</t>
  </si>
  <si>
    <t>Příplatek k mazanině tl přes 120 do 240 mm za přehlazení povrchu</t>
  </si>
  <si>
    <t>-667499547</t>
  </si>
  <si>
    <t>Příplatek k cenám mazanin za úpravu povrchu mazaniny přehlazením, mazanina tl. přes 120 do 240 mm</t>
  </si>
  <si>
    <t>https://podminky.urs.cz/item/CS_URS_2022_02/631319013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</si>
  <si>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</si>
  <si>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631319185</t>
  </si>
  <si>
    <t>Příplatek k mazanině tl přes 120 do 240 mm za sklon přes 15 do 35°</t>
  </si>
  <si>
    <t>1235974214</t>
  </si>
  <si>
    <t>Příplatek k cenám mazanin za sklon přes 15° do 35° od vodorovné roviny mazanina tl. přes 120 do 240 mm</t>
  </si>
  <si>
    <t>https://podminky.urs.cz/item/CS_URS_2022_02/631319185</t>
  </si>
  <si>
    <t>631342132</t>
  </si>
  <si>
    <t>Mazanina tl přes 120 do 240 mm z betonu lehkého tepelně-izolačního polystyrenového 500 kg/m3</t>
  </si>
  <si>
    <t>402429085</t>
  </si>
  <si>
    <t>Mazanina z betonu lehkého tepelně-izolačního polystyrénového tl. přes 120 do 240 mm, objemové hmotnosti 500 kg/m3</t>
  </si>
  <si>
    <t>https://podminky.urs.cz/item/CS_URS_2022_02/631342132</t>
  </si>
  <si>
    <t xml:space="preserve">Poznámka k souboru cen:
1. Ceny jsou určeny pro výplňové a vyrovnávací vrstvy podlah a spádové vrstvy plochých střech.
</t>
  </si>
  <si>
    <t>Plocha střechy uvnitř atik bude vyrovnána polystyrenbetonem</t>
  </si>
  <si>
    <t>objemová hmotnost v suchém stavu 350 +/-50 kg/m3,</t>
  </si>
  <si>
    <t>332,508*0,15</t>
  </si>
  <si>
    <t>634661111</t>
  </si>
  <si>
    <t>Výplň dilatačních spar šířky do 5 mm v mazaninách silikonovým tmelem</t>
  </si>
  <si>
    <t>-1804234777</t>
  </si>
  <si>
    <t>Výplň dilatačních spar mazanin silikonovým tmelem, šířka spáry do 5 mm</t>
  </si>
  <si>
    <t>https://podminky.urs.cz/item/CS_URS_2022_02/634661111</t>
  </si>
  <si>
    <t xml:space="preserve">Poznámka k souboru cen:
1. V cenách jsou započteny i náklady na ochranu okrajů spáry papírovou páskou.
2. V cenách 634 66-21.. a 634 66-31.. jsou započteny i náklady na těsnící provazec z pěnového polyetylénu.
</t>
  </si>
  <si>
    <t>634911112</t>
  </si>
  <si>
    <t>Řezání dilatačních spár š 5 mm hl přes 10 do 20 mm v čerstvé betonové mazanině</t>
  </si>
  <si>
    <t>-681178205</t>
  </si>
  <si>
    <t>Řezání dilatačních nebo smršťovacích spár v čerstvé betonové mazanině nebo potěru šířky do 5 mm, hloubky přes 10 do 20 mm</t>
  </si>
  <si>
    <t>https://podminky.urs.cz/item/CS_URS_2022_02/634911112</t>
  </si>
  <si>
    <t xml:space="preserve">Poznámka k souboru cen:
1. V cenách jsou započteny i náklady na vyčištění spár po řezání.
</t>
  </si>
  <si>
    <t>24,2*2+13,74*4</t>
  </si>
  <si>
    <t>BP</t>
  </si>
  <si>
    <t>pumpa betonové směsi</t>
  </si>
  <si>
    <t>-976154430</t>
  </si>
  <si>
    <t>-1011210374</t>
  </si>
  <si>
    <t>-1226065529</t>
  </si>
  <si>
    <t>-20731073</t>
  </si>
  <si>
    <t>vyčištění střechy před betonáží</t>
  </si>
  <si>
    <t>24,2*13,74</t>
  </si>
  <si>
    <t>1311723699</t>
  </si>
  <si>
    <t>977151117</t>
  </si>
  <si>
    <t>Jádrové vrty diamantovými korunkami do stavebních materiálů D přes 80 do 90 mm</t>
  </si>
  <si>
    <t>1850897985</t>
  </si>
  <si>
    <t>Jádrové vrty diamantovými korunkami do stavebních materiálů (železobetonu, betonu, cihel, obkladů, dlažeb, kamene) průměru přes 80 do 90 mm</t>
  </si>
  <si>
    <t>https://podminky.urs.cz/item/CS_URS_2022_02/977151117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</si>
  <si>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</si>
  <si>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prostupy kanalizace</t>
  </si>
  <si>
    <t>0,25</t>
  </si>
  <si>
    <t>977151119</t>
  </si>
  <si>
    <t>Jádrové vrty diamantovými korunkami do stavebních materiálů D přes 100 do 110 mm</t>
  </si>
  <si>
    <t>-780233083</t>
  </si>
  <si>
    <t>Jádrové vrty diamantovými korunkami do stavebních materiálů (železobetonu, betonu, cihel, obkladů, dlažeb, kamene) průměru přes 100 do 110 mm</t>
  </si>
  <si>
    <t>https://podminky.urs.cz/item/CS_URS_2022_02/977151119</t>
  </si>
  <si>
    <t>0,25*2</t>
  </si>
  <si>
    <t>977151123</t>
  </si>
  <si>
    <t>Jádrové vrty diamantovými korunkami do stavebních materiálů D přes 130 do 150 mm</t>
  </si>
  <si>
    <t>-683314055</t>
  </si>
  <si>
    <t>Jádrové vrty diamantovými korunkami do stavebních materiálů (železobetonu, betonu, cihel, obkladů, dlažeb, kamene) průměru přes 130 do 150 mm</t>
  </si>
  <si>
    <t>https://podminky.urs.cz/item/CS_URS_2022_02/977151123</t>
  </si>
  <si>
    <t>-1552642021</t>
  </si>
  <si>
    <t>35678452</t>
  </si>
  <si>
    <t>0,024*2 'Přepočtené koeficientem množství</t>
  </si>
  <si>
    <t>899487228</t>
  </si>
  <si>
    <t>-1472297494</t>
  </si>
  <si>
    <t>0,024*19 'Přepočtené koeficientem množství</t>
  </si>
  <si>
    <t>-1578064637</t>
  </si>
  <si>
    <t>-255204949</t>
  </si>
  <si>
    <t>712311101</t>
  </si>
  <si>
    <t>Provedení povlakové krytiny střech do 10° za studena lakem penetračním nebo asfaltovým</t>
  </si>
  <si>
    <t>988174985</t>
  </si>
  <si>
    <t>Provedení povlakové krytiny střech plochých do 10° natěradly a tmely za studena nátěrem lakem penetračním nebo asfaltovým</t>
  </si>
  <si>
    <t>https://podminky.urs.cz/item/CS_URS_2022_02/712311101</t>
  </si>
  <si>
    <t xml:space="preserve">Poznámka k souboru cen:
1. Povlakové krytiny střech jednotlivě do 10 m2 se oceňují skladebně cenou příslušné izolace a cenou 712 39-9095 Příplatek za plochu do 10 m2.
</t>
  </si>
  <si>
    <t>11163150</t>
  </si>
  <si>
    <t>lak penetrační asfaltový</t>
  </si>
  <si>
    <t>2037067999</t>
  </si>
  <si>
    <t>332,508*0,0003 'Přepočtené koeficientem množství</t>
  </si>
  <si>
    <t>712341559</t>
  </si>
  <si>
    <t>Provedení povlakové krytiny střech do 10° pásy NAIP přitavením v plné ploše</t>
  </si>
  <si>
    <t>55325459</t>
  </si>
  <si>
    <t>Provedení povlakové krytiny střech plochých do 10° pásy přitavením NAIP v plné ploše</t>
  </si>
  <si>
    <t>https://podminky.urs.cz/item/CS_URS_2022_02/712341559</t>
  </si>
  <si>
    <t xml:space="preserve">Poznámka k souboru cen:
1. Povlakové krytiny střech jednotlivě do 10 m2 se oceňují skladebně cenou příslušné izolace a cenou 712 39-9097 Příplatek za plochu do 10 m2.
</t>
  </si>
  <si>
    <t>62856011</t>
  </si>
  <si>
    <t>pás asfaltový natavitelný modifikovaný SBS tl 4,0mm s vložkou z hliníkové fólie, hliníkové fólie s textilií a spalitelnou PE fólií nebo jemnozrnným minerálním posypem na horním povrchu</t>
  </si>
  <si>
    <t>811286888</t>
  </si>
  <si>
    <t>332,508*1,2 'Přepočtené koeficientem množství</t>
  </si>
  <si>
    <t>998712102</t>
  </si>
  <si>
    <t>Přesun hmot tonážní tonážní pro krytiny povlakové v objektech v přes 6 do 12 m</t>
  </si>
  <si>
    <t>-971454438</t>
  </si>
  <si>
    <t>Přesun hmot pro povlakové krytiny stanovený z hmotnosti přesunovaného materiálu vodorovná dopravní vzdálenost do 50 m v objektech výšky přes 6 do 12 m</t>
  </si>
  <si>
    <t>https://podminky.urs.cz/item/CS_URS_2022_02/998712102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</si>
  <si>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</si>
  <si>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998712181</t>
  </si>
  <si>
    <t>Příplatek k přesunu hmot tonážní 712 prováděný bez použití mechanizace</t>
  </si>
  <si>
    <t>-40618614</t>
  </si>
  <si>
    <t>Přesun hmot pro povlakové krytiny stanovený z hmotnosti přesunovaného materiálu Příplatek k cenám za přesun prováděný bez použití mechanizace pro jakoukoliv výšku objektu</t>
  </si>
  <si>
    <t>https://podminky.urs.cz/item/CS_URS_2022_02/998712181</t>
  </si>
  <si>
    <t>762523963</t>
  </si>
  <si>
    <t>Montáž doplnění části podlah z desek tvrdých pl jednotlivě přes 1 do 4 m2</t>
  </si>
  <si>
    <t>2088358420</t>
  </si>
  <si>
    <t>Doplnění tesařské podlahy deskami - montáž (materiál ve specifikaci) tvrdými (cementotřískovými, cementovými, dřevoštěpkovými apod), plochy jednotlivě přes 1,00 do 4,00 m2</t>
  </si>
  <si>
    <t>https://podminky.urs.cz/item/CS_URS_2022_02/762523963</t>
  </si>
  <si>
    <t xml:space="preserve">Poznámka k souboru cen:
1. Tyto ceny lze použít i pro ocenění podlahových konstrukcí podkladových.
</t>
  </si>
  <si>
    <t>zakrytí otvorů před betonáží</t>
  </si>
  <si>
    <t>1,45*1,05*5+0,45*1,05</t>
  </si>
  <si>
    <t>0,5*0,5*3*2</t>
  </si>
  <si>
    <t>59155233</t>
  </si>
  <si>
    <t>deska cementovláknitá int/ext protipožární tl 20mm</t>
  </si>
  <si>
    <t>-1420757109</t>
  </si>
  <si>
    <t>9,585*1,1 'Přepočtené koeficientem množství</t>
  </si>
  <si>
    <t>998762102</t>
  </si>
  <si>
    <t>Přesun hmot tonážní pro kce tesařské v objektech v přes 6 do 12 m</t>
  </si>
  <si>
    <t>-929103655</t>
  </si>
  <si>
    <t>Přesun hmot pro konstrukce tesařské stanovený z hmotnosti přesunovaného materiálu vodorovná dopravní vzdálenost do 50 m v objektech výšky přes 6 do 12 m</t>
  </si>
  <si>
    <t>https://podminky.urs.cz/item/CS_URS_2022_02/998762102</t>
  </si>
  <si>
    <t>998762181</t>
  </si>
  <si>
    <t>Příplatek k přesunu hmot tonážní 762 prováděný bez použití mechanizace</t>
  </si>
  <si>
    <t>-1436720572</t>
  </si>
  <si>
    <t>Přesun hmot pro konstrukce tesařské stanovený z hmotnosti přesunovaného materiálu Příplatek k cenám za přesun prováděný bez použití mechanizace pro jakoukoliv výšku objektu</t>
  </si>
  <si>
    <t>https://podminky.urs.cz/item/CS_URS_2022_02/998762181</t>
  </si>
  <si>
    <t>1506239457</t>
  </si>
  <si>
    <t>013244000</t>
  </si>
  <si>
    <t>Dokumentace pro provádění stavby</t>
  </si>
  <si>
    <t>-1731755617</t>
  </si>
  <si>
    <t>https://podminky.urs.cz/item/CS_URS_2022_02/013244000</t>
  </si>
  <si>
    <t xml:space="preserve">Zhotovitel předloží nejpozději před začátkem provádění parozábrany tepelně technický výpočet bilance vlhkosti dle aktuální ČSN EN ISO 13788 celé </t>
  </si>
  <si>
    <t>skladby střechy v místech nad zakrývanými světlíky ( viz TZ)</t>
  </si>
  <si>
    <t>E 7 - Vybourání stávající dispozice 2. NP</t>
  </si>
  <si>
    <t xml:space="preserve">    766 - Konstrukce truhlářské</t>
  </si>
  <si>
    <t>-1572418353</t>
  </si>
  <si>
    <t>380868914</t>
  </si>
  <si>
    <t>962031133</t>
  </si>
  <si>
    <t>Bourání příček z cihel pálených na MVC tl do 150 mm</t>
  </si>
  <si>
    <t>-908898546</t>
  </si>
  <si>
    <t>Bourání příček z cihel, tvárnic nebo příčkovek z cihel pálených, plných nebo dutých na maltu vápennou nebo vápenocementovou, tl. do 150 mm</t>
  </si>
  <si>
    <t>https://podminky.urs.cz/item/CS_URS_2022_02/962031133</t>
  </si>
  <si>
    <t>3,95*(23,2-0,4*3+1,0*4+3,175*3+9,6*2+0,35*2+24,0-1,5+2,575*2+1,375+6,3+3,6+2,55+1,15*2+9,4+3,6+10,2+3,2*2+0,4+0,45+1,925*2+2,5+24+2,475*2+0,435*8)</t>
  </si>
  <si>
    <t>3,95*(1,375+0,96)</t>
  </si>
  <si>
    <t>dveře</t>
  </si>
  <si>
    <t>-57,600</t>
  </si>
  <si>
    <t>962084121</t>
  </si>
  <si>
    <t>Bourání příček deskových sádrových typu rabicka tl do 50 mm</t>
  </si>
  <si>
    <t>-1798387681</t>
  </si>
  <si>
    <t>Bourání zdiva příček nebo vybourání otvorů deskových a sádrových potažených rabicovým pletivem nebo bez pletiva sádrokartonových bez kovové konstrukce, umakartových, sololitových, tl. do 50 mm</t>
  </si>
  <si>
    <t>https://podminky.urs.cz/item/CS_URS_2022_02/962084121</t>
  </si>
  <si>
    <t>WC</t>
  </si>
  <si>
    <t>2,0*(1,1*4+2,575*2)</t>
  </si>
  <si>
    <t>965042141</t>
  </si>
  <si>
    <t>Bourání podkladů pod dlažby nebo mazanin betonových nebo z litého asfaltu tl do 100 mm pl přes 4 m2</t>
  </si>
  <si>
    <t>-177224882</t>
  </si>
  <si>
    <t>Bourání mazanin betonových nebo z litého asfaltu tl. do 100 mm, plochy přes 4 m2</t>
  </si>
  <si>
    <t>https://podminky.urs.cz/item/CS_URS_2022_02/965042141</t>
  </si>
  <si>
    <t>308,044*0,1</t>
  </si>
  <si>
    <t>965049111</t>
  </si>
  <si>
    <t>Příplatek k bourání betonových mazanin za bourání mazanin se svařovanou sítí tl do 100 mm</t>
  </si>
  <si>
    <t>-1101129397</t>
  </si>
  <si>
    <t>Bourání mazanin Příplatek k cenám za bourání mazanin betonových se svařovanou sítí, tl. do 100 mm</t>
  </si>
  <si>
    <t>https://podminky.urs.cz/item/CS_URS_2022_02/965049111</t>
  </si>
  <si>
    <t>965081223</t>
  </si>
  <si>
    <t>Bourání podlah z dlaždic keramických nebo xylolitových tl přes 10 mm plochy přes 1 m2</t>
  </si>
  <si>
    <t>-1058821103</t>
  </si>
  <si>
    <t>Bourání podlah z dlaždic bez podkladního lože nebo mazaniny, s jakoukoliv výplní spár keramických nebo xylolitových tl. přes 10 mm plochy přes 1 m2</t>
  </si>
  <si>
    <t>https://podminky.urs.cz/item/CS_URS_2022_02/965081223</t>
  </si>
  <si>
    <t xml:space="preserve">Poznámka k souboru cen:
1. Odsekání soklíků se oceňuje cenami souboru cen 965 08.
</t>
  </si>
  <si>
    <t>24*13,7-0,4*0,4*20-1,35*0,56-4*4,2</t>
  </si>
  <si>
    <t>-215253237</t>
  </si>
  <si>
    <t>0,9*2,0*20</t>
  </si>
  <si>
    <t>0,8*2,0*3</t>
  </si>
  <si>
    <t>0,6*2,0*14</t>
  </si>
  <si>
    <t>978013191</t>
  </si>
  <si>
    <t>Otlučení (osekání) vnitřní vápenné nebo vápenocementové omítky stěn v rozsahu přes 50 do 100 %</t>
  </si>
  <si>
    <t>327987720</t>
  </si>
  <si>
    <t>Otlučení vápenných nebo vápenocementových omítek vnitřních ploch stěn s vyškrabáním spar, s očištěním zdiva, v rozsahu přes 50 do 100 %</t>
  </si>
  <si>
    <t>https://podminky.urs.cz/item/CS_URS_2022_02/978013191</t>
  </si>
  <si>
    <t>3,95*(13,035+10)</t>
  </si>
  <si>
    <t>0,9*(13,035+14)</t>
  </si>
  <si>
    <t>1004945966</t>
  </si>
  <si>
    <t>795107706</t>
  </si>
  <si>
    <t>-925715323</t>
  </si>
  <si>
    <t>1769619030</t>
  </si>
  <si>
    <t>699914676</t>
  </si>
  <si>
    <t>odhad projektanta 15 %</t>
  </si>
  <si>
    <t>308,044*0,15</t>
  </si>
  <si>
    <t>273277</t>
  </si>
  <si>
    <t>odhad projektanta 20 %</t>
  </si>
  <si>
    <t>308,044*0,2</t>
  </si>
  <si>
    <t>985312131</t>
  </si>
  <si>
    <t>Stěrka k vyrovnání betonových ploch rubu kleneb a podlah tl do 2 mm</t>
  </si>
  <si>
    <t>318292490</t>
  </si>
  <si>
    <t>Stěrka k vyrovnání ploch reprofilovaného betonu rubu kleneb a podlah, tloušťky do 2 mm</t>
  </si>
  <si>
    <t>https://podminky.urs.cz/item/CS_URS_2022_02/985312131</t>
  </si>
  <si>
    <t>46,206+61,609</t>
  </si>
  <si>
    <t>-748463343</t>
  </si>
  <si>
    <t>-1607109049</t>
  </si>
  <si>
    <t>61,609+46,207</t>
  </si>
  <si>
    <t>-1708042222</t>
  </si>
  <si>
    <t>61,609*0,25*5</t>
  </si>
  <si>
    <t>-1793806901</t>
  </si>
  <si>
    <t>77,011*0,888*1,1/1000</t>
  </si>
  <si>
    <t>115209754</t>
  </si>
  <si>
    <t>-454795070</t>
  </si>
  <si>
    <t>77,011*2,46*1,1/1000</t>
  </si>
  <si>
    <t>-1772860735</t>
  </si>
  <si>
    <t>-453797481</t>
  </si>
  <si>
    <t>277,63*2 'Přepočtené koeficientem množství</t>
  </si>
  <si>
    <t>238214969</t>
  </si>
  <si>
    <t>334707892</t>
  </si>
  <si>
    <t>277,63*19 'Přepočtené koeficientem množství</t>
  </si>
  <si>
    <t>-1472812363</t>
  </si>
  <si>
    <t>1030716449</t>
  </si>
  <si>
    <t>766</t>
  </si>
  <si>
    <t>Konstrukce truhlářské</t>
  </si>
  <si>
    <t>766691914</t>
  </si>
  <si>
    <t>Vyvěšení nebo zavěšení dřevěných křídel dveří pl do 2 m2</t>
  </si>
  <si>
    <t>-1553575641</t>
  </si>
  <si>
    <t>Ostatní práce vyvěšení nebo zavěšení křídel dřevěných dveřních, plochy do 2 m2</t>
  </si>
  <si>
    <t>https://podminky.urs.cz/item/CS_URS_2022_02/766691914</t>
  </si>
  <si>
    <t xml:space="preserve">Poznámka k souboru cen:
1. Ceny -1931 a -1932 lze užít jen pro křídlo mající současně obě jmenované funkce.
</t>
  </si>
  <si>
    <t>3+8+4+4+8+4</t>
  </si>
  <si>
    <t>1752769234</t>
  </si>
  <si>
    <t>E 8 - Provedení otvoru pro schodišťový prostor</t>
  </si>
  <si>
    <t xml:space="preserve">    4 - Vodorovné konstrukce</t>
  </si>
  <si>
    <t xml:space="preserve">    783 - Dokončovací práce - nátěry</t>
  </si>
  <si>
    <t>342291143R</t>
  </si>
  <si>
    <t>spáry mezi nosníky a stropem - expanzní cementovou maltou tl  přes 100 mm</t>
  </si>
  <si>
    <t>556475220</t>
  </si>
  <si>
    <t>spáry mezi nosníky a stropem - expanzní cementovou maltou tl přes 100 mm</t>
  </si>
  <si>
    <t>5,4*2+4,8*2</t>
  </si>
  <si>
    <t>Vodorovné konstrukce</t>
  </si>
  <si>
    <t>411351011</t>
  </si>
  <si>
    <t>Zřízení bednění stropů deskových tl přes 5 do 25 cm bez podpěrné kce</t>
  </si>
  <si>
    <t>672549044</t>
  </si>
  <si>
    <t>Bednění stropních konstrukcí - bez podpěrné konstrukce desek tloušťky stropní desky přes 5 do 25 cm zřízení</t>
  </si>
  <si>
    <t>https://podminky.urs.cz/item/CS_URS_2022_02/411351011</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</si>
  <si>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</si>
  <si>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6*6</t>
  </si>
  <si>
    <t>411351012</t>
  </si>
  <si>
    <t>Odstranění bednění stropů deskových tl přes 5 do 25 cm bez podpěrné kce</t>
  </si>
  <si>
    <t>924881020</t>
  </si>
  <si>
    <t>Bednění stropních konstrukcí - bez podpěrné konstrukce desek tloušťky stropní desky přes 5 do 25 cm odstranění</t>
  </si>
  <si>
    <t>https://podminky.urs.cz/item/CS_URS_2022_02/411351012</t>
  </si>
  <si>
    <t>411354313</t>
  </si>
  <si>
    <t>Zřízení podpěrné konstrukce stropů výšky do 4 m tl přes 15 do 25 cm</t>
  </si>
  <si>
    <t>1341710812</t>
  </si>
  <si>
    <t>Podpěrná konstrukce stropů - desek, kleneb a skořepin výška podepření do 4 m tloušťka stropu přes 15 do 25 cm zřízení</t>
  </si>
  <si>
    <t>https://podminky.urs.cz/item/CS_URS_2022_02/411354313</t>
  </si>
  <si>
    <t xml:space="preserve">Poznámka k souboru cen:
1. Podepření větších výšek než 6 m se oceňuje individuálně.
</t>
  </si>
  <si>
    <t>411354314</t>
  </si>
  <si>
    <t>Odstranění podpěrné konstrukce stropů výšky do 4 m tl přes 15 do 25 cm</t>
  </si>
  <si>
    <t>650361410</t>
  </si>
  <si>
    <t>Podpěrná konstrukce stropů - desek, kleneb a skořepin výška podepření do 4 m tloušťka stropu přes 15 do 25 cm odstranění</t>
  </si>
  <si>
    <t>https://podminky.urs.cz/item/CS_URS_2022_02/411354314</t>
  </si>
  <si>
    <t>669077234</t>
  </si>
  <si>
    <t>1756738988</t>
  </si>
  <si>
    <t>-1821249757</t>
  </si>
  <si>
    <t>odbourány horní části příček v 1. NP tak, aby šly pod strop osadit ocelové průvlaky HEA220 a výměna 2x IPE160</t>
  </si>
  <si>
    <t>963051113</t>
  </si>
  <si>
    <t>Bourání ŽB stropů deskových tl přes 80 mm</t>
  </si>
  <si>
    <t>2104870633</t>
  </si>
  <si>
    <t>Bourání železobetonových stropů deskových, tl. přes 80 mm</t>
  </si>
  <si>
    <t>https://podminky.urs.cz/item/CS_URS_2022_02/963051113</t>
  </si>
  <si>
    <t xml:space="preserve">Poznámka k souboru cen:
1. Cenu -1313 lze použít i pro bourání bedničkových stropů. Množství jednotek se určuje v m3 včetně dutin.
</t>
  </si>
  <si>
    <t>(4*4,2+0,56*1,35)*0,25</t>
  </si>
  <si>
    <t>-1792701413</t>
  </si>
  <si>
    <t>6*4</t>
  </si>
  <si>
    <t>-1441399308</t>
  </si>
  <si>
    <t>-1311855713</t>
  </si>
  <si>
    <t>řezání stropu - otvor pro schodiště</t>
  </si>
  <si>
    <t>4,2+4,56+1,35+0,56+(4,2-1,35)+4,0</t>
  </si>
  <si>
    <t>dělení na menší manupulovatelné části</t>
  </si>
  <si>
    <t>0,56*4+4,2*14+4,0*14</t>
  </si>
  <si>
    <t>-1985523946</t>
  </si>
  <si>
    <t>-894507618</t>
  </si>
  <si>
    <t>11,839*2 'Přepočtené koeficientem množství</t>
  </si>
  <si>
    <t>198256781</t>
  </si>
  <si>
    <t>1656002333</t>
  </si>
  <si>
    <t>11,839*19 'Přepočtené koeficientem množství</t>
  </si>
  <si>
    <t>-1329271179</t>
  </si>
  <si>
    <t>1915748921</t>
  </si>
  <si>
    <t>767995116</t>
  </si>
  <si>
    <t>Montáž atypických zámečnických konstrukcí hm přes 100 do 250 kg</t>
  </si>
  <si>
    <t>kg</t>
  </si>
  <si>
    <t>-1392646726</t>
  </si>
  <si>
    <t>Montáž ostatních atypických zámečnických konstrukcí hmotnosti přes 100 do 250 kg</t>
  </si>
  <si>
    <t>https://podminky.urs.cz/item/CS_URS_2022_02/767995116</t>
  </si>
  <si>
    <t xml:space="preserve">Poznámka k souboru cen:
1. Určení cen se řídí hmotností jednotlivě montovaného dílu konstrukce.
</t>
  </si>
  <si>
    <t>152+545</t>
  </si>
  <si>
    <t>13010748</t>
  </si>
  <si>
    <t>ocel profilová jakost S235JR (11 375) průřez IPE 160</t>
  </si>
  <si>
    <t>-1849379728</t>
  </si>
  <si>
    <t>ocel profilová IPE 160 jakost 11 375</t>
  </si>
  <si>
    <t>2*4,8*15,8/1000</t>
  </si>
  <si>
    <t>0,152*1,05 'Přepočtené koeficientem množství</t>
  </si>
  <si>
    <t>13010962</t>
  </si>
  <si>
    <t>ocel profilová jakost S235JR (11 375) průřez HEA 220</t>
  </si>
  <si>
    <t>-1065629514</t>
  </si>
  <si>
    <t>ocel profilová HE-A 220 jakost 11 375</t>
  </si>
  <si>
    <t>50,5*5,4/1000*2</t>
  </si>
  <si>
    <t>0,545*1,05 'Přepočtené koeficientem množství</t>
  </si>
  <si>
    <t>998767102</t>
  </si>
  <si>
    <t>Přesun hmot tonážní pro zámečnické konstrukce v objektech v přes 6 do 12 m</t>
  </si>
  <si>
    <t>-1961010356</t>
  </si>
  <si>
    <t>Přesun hmot pro zámečnické konstrukce stanovený z hmotnosti přesunovaného materiálu vodorovná dopravní vzdálenost do 50 m v objektech výšky přes 6 do 12 m</t>
  </si>
  <si>
    <t>https://podminky.urs.cz/item/CS_URS_2022_02/998767102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</si>
  <si>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</si>
  <si>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998767181</t>
  </si>
  <si>
    <t>Příplatek k přesunu hmot tonážní 767 prováděný bez použití mechanizace</t>
  </si>
  <si>
    <t>-672040645</t>
  </si>
  <si>
    <t>Přesun hmot pro zámečnické konstrukce stanovený z hmotnosti přesunovaného materiálu Příplatek k cenám za přesun prováděný bez použití mechanizace pro jakoukoliv výšku objektu</t>
  </si>
  <si>
    <t>https://podminky.urs.cz/item/CS_URS_2022_02/998767181</t>
  </si>
  <si>
    <t>X2</t>
  </si>
  <si>
    <t>kotvení nosníků na sloupy</t>
  </si>
  <si>
    <t>-1363135374</t>
  </si>
  <si>
    <t>Spoj podélných HEA220 se sloupy kloubový - uložení na úpalky L kotvené na chemii do sloupů. Návrhová svislá reakce v uložení 90 kN</t>
  </si>
  <si>
    <t>každý úpalek L 2x chemickou kotvu M20</t>
  </si>
  <si>
    <t>X3</t>
  </si>
  <si>
    <t>šroubovaný spoj přes čelní deku - napojení IPE a HEA</t>
  </si>
  <si>
    <t>-2115221008</t>
  </si>
  <si>
    <t>Spoje výměna - průvlak rovněž kloubové šroubované 2x M12 5.8 přes čelní desky P8 /přivařené koutovými svary na výměnu/ ke stojinám průvlaků</t>
  </si>
  <si>
    <t>783</t>
  </si>
  <si>
    <t>Dokončovací práce - nátěry</t>
  </si>
  <si>
    <t>783301303</t>
  </si>
  <si>
    <t>Bezoplachové odrezivění zámečnických konstrukcí</t>
  </si>
  <si>
    <t>1556243455</t>
  </si>
  <si>
    <t>Příprava podkladu zámečnických konstrukcí před provedením nátěru odrezivění odrezovačem bezoplachovým</t>
  </si>
  <si>
    <t>https://podminky.urs.cz/item/CS_URS_2022_02/783301303</t>
  </si>
  <si>
    <t>783301313</t>
  </si>
  <si>
    <t>Odmaštění zámečnických konstrukcí ředidlovým odmašťovačem</t>
  </si>
  <si>
    <t>-957626300</t>
  </si>
  <si>
    <t>Příprava podkladu zámečnických konstrukcí před provedením nátěru odmaštění odmašťovačem ředidlovým</t>
  </si>
  <si>
    <t>https://podminky.urs.cz/item/CS_URS_2022_02/783301313</t>
  </si>
  <si>
    <t>783301401</t>
  </si>
  <si>
    <t>Ometení zámečnických konstrukcí</t>
  </si>
  <si>
    <t>528957859</t>
  </si>
  <si>
    <t>Příprava podkladu zámečnických konstrukcí před provedením nátěru ometení</t>
  </si>
  <si>
    <t>https://podminky.urs.cz/item/CS_URS_2022_02/783301401</t>
  </si>
  <si>
    <t>783314203</t>
  </si>
  <si>
    <t>Základní antikorozní jednonásobný syntetický samozákladující nátěr zámečnických konstrukcí</t>
  </si>
  <si>
    <t>-389835282</t>
  </si>
  <si>
    <t>Základní antikorozní nátěr zámečnických konstrukcí jednonásobný syntetický samozákladující</t>
  </si>
  <si>
    <t>https://podminky.urs.cz/item/CS_URS_2022_02/783314203</t>
  </si>
  <si>
    <t>IPE 160</t>
  </si>
  <si>
    <t>4,8*2*0,623</t>
  </si>
  <si>
    <t>HEA 220</t>
  </si>
  <si>
    <t>5,4*2*1,26</t>
  </si>
  <si>
    <t>-1386890392</t>
  </si>
  <si>
    <t>E 9 - Hrubá stavba nové dispozice 2. NP</t>
  </si>
  <si>
    <t>311272227</t>
  </si>
  <si>
    <t>Zdivo z pórobetonových tvárnic na pero a drážku přes P2 do P4 do 450 kg/m3 na tenkovrstvou maltu tl 300 m</t>
  </si>
  <si>
    <t>-1240836761</t>
  </si>
  <si>
    <t>Zdivo z pórobetonových tvárnic na tenké maltové lože, tl. zdiva 300 mm pevnost tvárnic přes P2 do P4, objemová hmotnost do 450 kg/m3 na pero a drážku</t>
  </si>
  <si>
    <t>https://podminky.urs.cz/item/CS_URS_2022_02/311272227</t>
  </si>
  <si>
    <t>3,95*(13,69-0,4*4+17,8-0,4*3+4,935+9,8+0,3)</t>
  </si>
  <si>
    <t>-1,4*1,97*3</t>
  </si>
  <si>
    <t>-1,25*0,5*(4+6)</t>
  </si>
  <si>
    <t>317142410</t>
  </si>
  <si>
    <t>Překlad nenosný pórobetonový š 75 mm v do 250 mm na tenkovrstvou maltu dl do 1000 mm</t>
  </si>
  <si>
    <t>448482668</t>
  </si>
  <si>
    <t>Překlady nenosné z pórobetonu osazené do tenkého maltového lože, výšky do 250 mm, šířky překladu 75 mm, délky překladu do 1000 mm</t>
  </si>
  <si>
    <t>https://podminky.urs.cz/item/CS_URS_2022_02/317142410</t>
  </si>
  <si>
    <t xml:space="preserve">Poznámka k souboru cen:
1. V cenách jsou započteny náklady na dodání a uložení překladu, včetně podmazání ložné plochy tenkovrstvou maltou.
</t>
  </si>
  <si>
    <t>317142412</t>
  </si>
  <si>
    <t>Překlad nenosný pórobetonový š 75 mm v do 250 mm na tenkovrstvou maltu dl přes 1000 do 1250 mm</t>
  </si>
  <si>
    <t>-304680031</t>
  </si>
  <si>
    <t>Překlady nenosné z pórobetonu osazené do tenkého maltového lože, výšky do 250 mm, šířky překladu 75 mm, délky překladu přes 1000 do 1250 mm</t>
  </si>
  <si>
    <t>https://podminky.urs.cz/item/CS_URS_2022_02/317142412</t>
  </si>
  <si>
    <t>317142442</t>
  </si>
  <si>
    <t>Překlad nenosný pórobetonový š 150 mm v do 250 mm na tenkovrstvou maltu dl přes 1000 do 1250 mm</t>
  </si>
  <si>
    <t>-462539093</t>
  </si>
  <si>
    <t>Překlady nenosné z pórobetonu osazené do tenkého maltového lože, výšky do 250 mm, šířky překladu 150 mm, délky překladu přes 1000 do 1250 mm</t>
  </si>
  <si>
    <t>https://podminky.urs.cz/item/CS_URS_2022_02/317142442</t>
  </si>
  <si>
    <t>317143453</t>
  </si>
  <si>
    <t>Překlad nosný z pórobetonu ve zdech tl 300 mm dl přes 1500 do 1800 mm</t>
  </si>
  <si>
    <t>613665203</t>
  </si>
  <si>
    <t>Překlady nosné z pórobetonu osazené do tenkého maltového lože, pro zdi tl. 300 mm, délky překladu přes 1500 do 1800 mm</t>
  </si>
  <si>
    <t>https://podminky.urs.cz/item/CS_URS_2022_02/317143453</t>
  </si>
  <si>
    <t xml:space="preserve">Poznámka k souboru cen:
1. V cenách jsou započteny náklady na dodání a uložení překladu předepsané délky, včetně podmazání ložné plochy tenkovrstvou maltou.
</t>
  </si>
  <si>
    <t>4+6</t>
  </si>
  <si>
    <t>342272215</t>
  </si>
  <si>
    <t>Příčka z pórobetonových hladkých tvárnic na tenkovrstvou maltu tl 75 mm</t>
  </si>
  <si>
    <t>-477288942</t>
  </si>
  <si>
    <t>Příčky z pórobetonových tvárnic hladkých na tenké maltové lože objemová hmotnost do 500 kg/m3, tloušťka příčky 75 mm</t>
  </si>
  <si>
    <t>https://podminky.urs.cz/item/CS_URS_2022_02/342272215</t>
  </si>
  <si>
    <t>3,95*(1,8+1,335*2+1,2+1,2*2+3,85*2)</t>
  </si>
  <si>
    <t>-0,9*1,97</t>
  </si>
  <si>
    <t>-0,7*1,97*5</t>
  </si>
  <si>
    <t>342272245</t>
  </si>
  <si>
    <t>Příčka z pórobetonových hladkých tvárnic na tenkovrstvou maltu tl 150 mm</t>
  </si>
  <si>
    <t>-74661189</t>
  </si>
  <si>
    <t>Příčky z pórobetonových tvárnic hladkých na tenké maltové lože objemová hmotnost do 500 kg/m3, tloušťka příčky 150 mm</t>
  </si>
  <si>
    <t>https://podminky.urs.cz/item/CS_URS_2022_02/342272245</t>
  </si>
  <si>
    <t>3,95*(0,84+4,0+4,035)</t>
  </si>
  <si>
    <t>-0,7*1,97*2</t>
  </si>
  <si>
    <t>-1828310409</t>
  </si>
  <si>
    <t>3,95*2*(8+6)</t>
  </si>
  <si>
    <t>3,95*4</t>
  </si>
  <si>
    <t>631319221</t>
  </si>
  <si>
    <t>Příplatek k mazaninám za přidání polymerových makrovláken pro objemové vyztužení 2,5 kg/m3</t>
  </si>
  <si>
    <t>1555543012</t>
  </si>
  <si>
    <t>Příplatek k cenám betonových mazanin za vyztužení polymerovými makrovlákny objemové vyztužení 2,5 kg/m3</t>
  </si>
  <si>
    <t>https://podminky.urs.cz/item/CS_URS_2022_02/631319221</t>
  </si>
  <si>
    <t>291,200*0,02</t>
  </si>
  <si>
    <t>632451107</t>
  </si>
  <si>
    <t>Cementový samonivelační potěr ze suchých směsí tl přes 15 do 20 mm</t>
  </si>
  <si>
    <t>679429854</t>
  </si>
  <si>
    <t>Potěr cementový samonivelační ze suchých směsí tloušťky přes 15 do 20 mm</t>
  </si>
  <si>
    <t>https://podminky.urs.cz/item/CS_URS_2022_02/632451107</t>
  </si>
  <si>
    <t>56,5+90,9+79,6+47,9+4,8+6,8+1,8+2,9</t>
  </si>
  <si>
    <t>634112113</t>
  </si>
  <si>
    <t>Obvodová dilatace podlahovým páskem z pěnového PE mezi stěnou a mazaninou nebo potěrem v 80 mm</t>
  </si>
  <si>
    <t>-311832083</t>
  </si>
  <si>
    <t>Obvodová dilatace mezi stěnou a mazaninou nebo potěrem podlahovým páskem z pěnového PE tl. do 10 mm, výšky 80 mm</t>
  </si>
  <si>
    <t>https://podminky.urs.cz/item/CS_URS_2022_02/634112113</t>
  </si>
  <si>
    <t>5,9*2+13,69*2</t>
  </si>
  <si>
    <t>17,8*2+5,155*2</t>
  </si>
  <si>
    <t>17,8+3+10,1+4,935+0,3+1,5+0,2+1,7+1,95+2,36</t>
  </si>
  <si>
    <t>9,8*2+4,935*2</t>
  </si>
  <si>
    <t>642942611</t>
  </si>
  <si>
    <t>Osazování zárubní nebo rámů dveřních kovových do 2,5 m2 na montážní pěnu</t>
  </si>
  <si>
    <t>1666987504</t>
  </si>
  <si>
    <t>Osazování zárubní nebo rámů kovových dveřních lisovaných nebo z úhelníků bez dveřních křídel na montážní pěnu, plochy otvoru do 2,5 m2</t>
  </si>
  <si>
    <t>https://podminky.urs.cz/item/CS_URS_2022_02/642942611</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</si>
  <si>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</si>
  <si>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55331481</t>
  </si>
  <si>
    <t>zárubeň jednokřídlá ocelová pro zdění tl stěny 75-100mm rozměru 700/1970, 2100mm</t>
  </si>
  <si>
    <t>1723398389</t>
  </si>
  <si>
    <t>55331486</t>
  </si>
  <si>
    <t>zárubeň jednokřídlá ocelová pro zdění tl stěny 110-150mm rozměru 700/1970, 2100mm</t>
  </si>
  <si>
    <t>CS ÚRS 2020 02</t>
  </si>
  <si>
    <t>216122365</t>
  </si>
  <si>
    <t>55331483</t>
  </si>
  <si>
    <t>zárubeň jednokřídlá ocelová pro zdění tl stěny 75-100mm rozměru 900/1970, 2100mm</t>
  </si>
  <si>
    <t>-980908653</t>
  </si>
  <si>
    <t>642945112</t>
  </si>
  <si>
    <t>Osazování protipožárních nebo protiplynových zárubní dveří dvoukřídlových přes 2,5 do 6,5 m2</t>
  </si>
  <si>
    <t>-1428436945</t>
  </si>
  <si>
    <t>Osazování ocelových zárubní protipožárních nebo protiplynových dveří do vynechaného otvoru, s obetonováním, dveří dvoukřídlových přes 2,5 do 6,5 m2</t>
  </si>
  <si>
    <t>https://podminky.urs.cz/item/CS_URS_2022_02/642945112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</si>
  <si>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</si>
  <si>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rám v ceně dveří</t>
  </si>
  <si>
    <t>55331771R</t>
  </si>
  <si>
    <t>zárubeň dvoukřídlá ocelová pro zdění s protipožární úpravou tl stěny 260-300mm rozměru 1400/1970, 2100mm- EI30</t>
  </si>
  <si>
    <t>1903263346</t>
  </si>
  <si>
    <t>zárubeň dvoukřídlá ocelová pro zdění s protipožární úpravou tl stěny 260-300mm rozměru 1400/1970, 2100mm</t>
  </si>
  <si>
    <t>833879239</t>
  </si>
  <si>
    <t>-221829761</t>
  </si>
  <si>
    <t>-1317914136</t>
  </si>
  <si>
    <t>635477480</t>
  </si>
  <si>
    <t>E10 - Vybourání dispozice 1. NP</t>
  </si>
  <si>
    <t>1378033457</t>
  </si>
  <si>
    <t>bourání prostupu do PP pro výtah</t>
  </si>
  <si>
    <t>4*3</t>
  </si>
  <si>
    <t>974274977</t>
  </si>
  <si>
    <t>-939558865</t>
  </si>
  <si>
    <t>-541656794</t>
  </si>
  <si>
    <t>1811804611</t>
  </si>
  <si>
    <t>964944530</t>
  </si>
  <si>
    <t>-851111722</t>
  </si>
  <si>
    <t>3,95*(5,4+3,71+3,71+1,01+1,45+2,225*2+5,4+9,2+3,85+1,15+1,8++0,25*2+0,25*2+23,2-0,4*3+0,45*2+2,275*2)</t>
  </si>
  <si>
    <t>-12,4-7,28</t>
  </si>
  <si>
    <t>962032241</t>
  </si>
  <si>
    <t>Bourání zdiva z cihel pálených nebo vápenopískových na MC přes 1 m3</t>
  </si>
  <si>
    <t>-1453693437</t>
  </si>
  <si>
    <t>Bourání zdiva nadzákladového z cihel nebo tvárnic z cihel pálených nebo vápenopískových, na maltu cementovou, objemu přes 1 m3</t>
  </si>
  <si>
    <t>https://podminky.urs.cz/item/CS_URS_2022_02/962032241</t>
  </si>
  <si>
    <t xml:space="preserve">Poznámka k souboru cen:
1. Bourání pilířů o průřezu přes 0,36 m2 se oceňuje příslušnými cenami -2230, -2231, -2240, -2241,-2253 a -2254 jako bourání zdiva nadzákladového cihelného.
</t>
  </si>
  <si>
    <t>sloupky</t>
  </si>
  <si>
    <t>0,25*0,375*3,95*6</t>
  </si>
  <si>
    <t>-28195359</t>
  </si>
  <si>
    <t>0,25*2,72*2,02</t>
  </si>
  <si>
    <t>-1547225597</t>
  </si>
  <si>
    <t>311,244*0,1</t>
  </si>
  <si>
    <t>-750009162</t>
  </si>
  <si>
    <t>-2139824092</t>
  </si>
  <si>
    <t>24*13,7-4*4,2-0,56*1,35</t>
  </si>
  <si>
    <t>-229215909</t>
  </si>
  <si>
    <t>0,6*2,0*5</t>
  </si>
  <si>
    <t>0,8*2,0*4</t>
  </si>
  <si>
    <t>521563931</t>
  </si>
  <si>
    <t>2,4*2</t>
  </si>
  <si>
    <t>1,24*2</t>
  </si>
  <si>
    <t>280118855</t>
  </si>
  <si>
    <t>pro zpětnou montáž</t>
  </si>
  <si>
    <t>0,9*0,9*6+0,6*0,9</t>
  </si>
  <si>
    <t>jen demontáž</t>
  </si>
  <si>
    <t>0,9*0,9*3+0,6*0,6</t>
  </si>
  <si>
    <t>výměna okna 1,2 x 0,6 v sousedním pavilonu</t>
  </si>
  <si>
    <t>1,2*0,6</t>
  </si>
  <si>
    <t>968082022</t>
  </si>
  <si>
    <t>Vybourání plastových zárubní dveří plochy do 4 m2</t>
  </si>
  <si>
    <t>734838120</t>
  </si>
  <si>
    <t>Vybourání plastových rámů oken s křídly, dveřních zárubní, vrat dveřních zárubní, plochy přes 2 do 4 m2</t>
  </si>
  <si>
    <t>https://podminky.urs.cz/item/CS_URS_2022_02/968082022</t>
  </si>
  <si>
    <t>2,4*2,4</t>
  </si>
  <si>
    <t>1400050840</t>
  </si>
  <si>
    <t>2,72*7</t>
  </si>
  <si>
    <t>2,02*10</t>
  </si>
  <si>
    <t>1064069513</t>
  </si>
  <si>
    <t>3,95*(24+13,7*2+3,835*2)</t>
  </si>
  <si>
    <t>-0,9*0,9*9-0,6*0,9</t>
  </si>
  <si>
    <t>-2,4*2,4</t>
  </si>
  <si>
    <t>-2,1*2,15*2</t>
  </si>
  <si>
    <t>2,65*(2,95+7,95+6,2+8,2)-0,8*2*2</t>
  </si>
  <si>
    <t>1806471374</t>
  </si>
  <si>
    <t>1412288616</t>
  </si>
  <si>
    <t>784026089</t>
  </si>
  <si>
    <t>-162544170</t>
  </si>
  <si>
    <t>-647183014</t>
  </si>
  <si>
    <t>odhad projektanta 15%</t>
  </si>
  <si>
    <t>311,244*0,15</t>
  </si>
  <si>
    <t>1918876776</t>
  </si>
  <si>
    <t>odhad projektanta 20%</t>
  </si>
  <si>
    <t>311,244*0,2</t>
  </si>
  <si>
    <t>-1084238477</t>
  </si>
  <si>
    <t>-563449931</t>
  </si>
  <si>
    <t>-103385674</t>
  </si>
  <si>
    <t>62,249+46,687</t>
  </si>
  <si>
    <t>1625745397</t>
  </si>
  <si>
    <t>62,249*0,25*5</t>
  </si>
  <si>
    <t>-769951703</t>
  </si>
  <si>
    <t>77,811*0,888*1,1/1000</t>
  </si>
  <si>
    <t>1997386790</t>
  </si>
  <si>
    <t>98416831</t>
  </si>
  <si>
    <t>77,811*2,46*1,1/1000</t>
  </si>
  <si>
    <t>-268345919</t>
  </si>
  <si>
    <t>1657162434</t>
  </si>
  <si>
    <t>193,268*2 'Přepočtené koeficientem množství</t>
  </si>
  <si>
    <t>600828381</t>
  </si>
  <si>
    <t>1292441130</t>
  </si>
  <si>
    <t>193,268*19 'Přepočtené koeficientem množství</t>
  </si>
  <si>
    <t>1403841368</t>
  </si>
  <si>
    <t>-927093604</t>
  </si>
  <si>
    <t>-1410977532</t>
  </si>
  <si>
    <t>766691915</t>
  </si>
  <si>
    <t>Vyvěšení nebo zavěšení dřevěných křídel dveří pl přes 2 m2</t>
  </si>
  <si>
    <t>1240416822</t>
  </si>
  <si>
    <t>Ostatní práce vyvěšení nebo zavěšení křídel dřevěných dveřních, plochy přes 2 m2</t>
  </si>
  <si>
    <t>https://podminky.urs.cz/item/CS_URS_2022_02/766691915</t>
  </si>
  <si>
    <t>321621870</t>
  </si>
  <si>
    <t>E11 - Hrubá stavba nové dispozice 1. NP</t>
  </si>
  <si>
    <t xml:space="preserve">      43 - Schodišťové konstrukce a rampy</t>
  </si>
  <si>
    <t>-216378553</t>
  </si>
  <si>
    <t>3,95*(5,4+9,85)</t>
  </si>
  <si>
    <t>-1,5*2,15*3</t>
  </si>
  <si>
    <t>-1340868449</t>
  </si>
  <si>
    <t>183504629</t>
  </si>
  <si>
    <t>-2040979168</t>
  </si>
  <si>
    <t>342271531</t>
  </si>
  <si>
    <t>Příčka z vápenopískových přesných plných tvárnic 5DF přes P15 do P25 tl 150 mm</t>
  </si>
  <si>
    <t>-1439103514</t>
  </si>
  <si>
    <t>Příčky z přesných vápenopískových tvárnic na tenkovrstvou maltu, tloušťka příčky 150 mm, formát a rozměr tvárnic 5DF 248x150x248 mm plných, pevnost tvárnic přes P15 do P25</t>
  </si>
  <si>
    <t>https://podminky.urs.cz/item/CS_URS_2022_02/342271531</t>
  </si>
  <si>
    <t>dojezd výtahu</t>
  </si>
  <si>
    <t>0,75*(2,1*2+1,4*2)</t>
  </si>
  <si>
    <t>-364879341</t>
  </si>
  <si>
    <t>3,95*(1,335*2+1,2+1,2*2+3,55*2+1,8+3,53)</t>
  </si>
  <si>
    <t>-0,8*1,97</t>
  </si>
  <si>
    <t>1361152725</t>
  </si>
  <si>
    <t>3,95*(3,535+0,32+4,035+4,0+1,5+2,8+2,9+4,0+4,0)</t>
  </si>
  <si>
    <t>-0,9*1,97*2</t>
  </si>
  <si>
    <t>-0,7*1,97*3</t>
  </si>
  <si>
    <t>dozezd výtahu -PP</t>
  </si>
  <si>
    <t>(2,1*2+1,4*2)*(2,65-0,75)</t>
  </si>
  <si>
    <t>-1664357102</t>
  </si>
  <si>
    <t>Ukotvení příček plochými kotvami, do konstrukce cihelné- viz TZ</t>
  </si>
  <si>
    <t>3,95*(2+2+2)</t>
  </si>
  <si>
    <t>Ukotvení příček k betonovým konstrukcím plochými kotvami- viz TZ</t>
  </si>
  <si>
    <t>-1626546343</t>
  </si>
  <si>
    <t>Ukotvení příček plochými kotvami, do konstrukce betonové- viz TZ</t>
  </si>
  <si>
    <t>3,95*2*(2+2+1)</t>
  </si>
  <si>
    <t>3,95*12</t>
  </si>
  <si>
    <t>411321616</t>
  </si>
  <si>
    <t>Stropy deskové ze ŽB tř. C 30/37</t>
  </si>
  <si>
    <t>434074110</t>
  </si>
  <si>
    <t>Stropy z betonu železového (bez výztuže) stropů deskových, plochých střech, desek balkonových, desek hřibových stropů včetně hlavic hřibových sloupů tř. C 30/37</t>
  </si>
  <si>
    <t>https://podminky.urs.cz/item/CS_URS_2022_02/411321616</t>
  </si>
  <si>
    <t xml:space="preserve">Poznámka k souboru cen:
1. V cenách pohledového betonu 411 35-4 a 411 35-5 jsou započteny i náklady na pečlivé hutnění zejména při líci konstrukce pro docílení neporušeného maltového povrchu bez vzhledových kazů.
</t>
  </si>
  <si>
    <t>DOBETONÁVKY STROPU NAD PP</t>
  </si>
  <si>
    <t>0,12*3,85*2,74</t>
  </si>
  <si>
    <t>strop v šachtě výtahu</t>
  </si>
  <si>
    <t>0,1*1,7*2,4</t>
  </si>
  <si>
    <t>-415951566</t>
  </si>
  <si>
    <t>3,85*2,5</t>
  </si>
  <si>
    <t>2,4*1,7+0,1*(2,4*2+1,7*2)</t>
  </si>
  <si>
    <t>-1600294181</t>
  </si>
  <si>
    <t>411354311</t>
  </si>
  <si>
    <t>Zřízení podpěrné konstrukce stropů výšky do 4 m tl přes 5 do 15 cm</t>
  </si>
  <si>
    <t>613197435</t>
  </si>
  <si>
    <t>Podpěrná konstrukce stropů - desek, kleneb a skořepin výška podepření do 4 m tloušťka stropu přes 5 do 15 cm zřízení</t>
  </si>
  <si>
    <t>https://podminky.urs.cz/item/CS_URS_2022_02/411354311</t>
  </si>
  <si>
    <t>9,625</t>
  </si>
  <si>
    <t>2,4*1,7</t>
  </si>
  <si>
    <t>411354312</t>
  </si>
  <si>
    <t>Odstranění podpěrné konstrukce stropů výšky do 4 m tl přes 5 do 15 cm</t>
  </si>
  <si>
    <t>829617543</t>
  </si>
  <si>
    <t>Podpěrná konstrukce stropů - desek, kleneb a skořepin výška podepření do 4 m tloušťka stropu přes 5 do 15 cm odstranění</t>
  </si>
  <si>
    <t>https://podminky.urs.cz/item/CS_URS_2022_02/411354312</t>
  </si>
  <si>
    <t>411362021</t>
  </si>
  <si>
    <t>Výztuž stropů svařovanými sítěmi Kari</t>
  </si>
  <si>
    <t>506890391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</si>
  <si>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</si>
  <si>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https://podminky.urs.cz/item/CS_URS_2022_02/411362021</t>
  </si>
  <si>
    <t>0,0862</t>
  </si>
  <si>
    <t>výtah.šachta - 100/100/6 - 4,44 kg/m3</t>
  </si>
  <si>
    <t>2,4*1,7*1,15*4,44/1000</t>
  </si>
  <si>
    <t>Schodišťové konstrukce a rampy</t>
  </si>
  <si>
    <t>430321616</t>
  </si>
  <si>
    <t>Schodišťová konstrukce a rampa ze ŽB tř. C 30/37</t>
  </si>
  <si>
    <t>-1651622725</t>
  </si>
  <si>
    <t>Schodišťové konstrukce a rampy z betonu železového (bez výztuže) stupně, schodnice, ramena, podesty s nosníky tř. C 30/37</t>
  </si>
  <si>
    <t>https://podminky.urs.cz/item/CS_URS_2022_02/430321616</t>
  </si>
  <si>
    <t>1,063*1,5</t>
  </si>
  <si>
    <t>0,45*1,5</t>
  </si>
  <si>
    <t>0,89*1,5</t>
  </si>
  <si>
    <t>430361821</t>
  </si>
  <si>
    <t>Výztuž schodišťové konstrukce a rampy betonářskou ocelí 10 505</t>
  </si>
  <si>
    <t>1835498681</t>
  </si>
  <si>
    <t>Výztuž schodišťových konstrukcí a ramp stupňů, schodnic, ramen, podest s nosníky z betonářské oceli 10 505 (R) nebo BSt 500</t>
  </si>
  <si>
    <t>https://podminky.urs.cz/item/CS_URS_2022_02/430361821</t>
  </si>
  <si>
    <t>0,1406-(20,6+11,3+16,8+45,1)/1000</t>
  </si>
  <si>
    <t>430362021</t>
  </si>
  <si>
    <t>Výztuž schodišťové konstrukce a rampy svařovanými sítěmi Kari</t>
  </si>
  <si>
    <t>-575438621</t>
  </si>
  <si>
    <t>Výztuž schodišťových konstrukcí a ramp stupňů, schodnic, ramen, podest s nosníky ze svařovaných sítí z drátů typu KARI</t>
  </si>
  <si>
    <t>https://podminky.urs.cz/item/CS_URS_2022_02/430362021</t>
  </si>
  <si>
    <t>(20,6+11,3+16,8+45,1)/1000</t>
  </si>
  <si>
    <t>431351121</t>
  </si>
  <si>
    <t>Zřízení bednění podest schodišť a ramp přímočarých v do 4 m</t>
  </si>
  <si>
    <t>-1746979252</t>
  </si>
  <si>
    <t>Bednění podest, podstupňových desek a ramp včetně podpěrné konstrukce výšky do 4 m půdorysně přímočarých zřízení</t>
  </si>
  <si>
    <t>https://podminky.urs.cz/item/CS_URS_2022_02/431351121</t>
  </si>
  <si>
    <t>1,063*2+0,45*2+0,89*2</t>
  </si>
  <si>
    <t>4,1*1,5+2,1*1,5+5,3*1,5</t>
  </si>
  <si>
    <t>rezerva</t>
  </si>
  <si>
    <t>431351122</t>
  </si>
  <si>
    <t>Odstranění bednění podest schodišť a ramp přímočarých v do 4 m</t>
  </si>
  <si>
    <t>-1154574560</t>
  </si>
  <si>
    <t>Bednění podest, podstupňových desek a ramp včetně podpěrné konstrukce výšky do 4 m půdorysně přímočarých odstranění</t>
  </si>
  <si>
    <t>https://podminky.urs.cz/item/CS_URS_2022_02/431351122</t>
  </si>
  <si>
    <t>431351128</t>
  </si>
  <si>
    <t>Příplatek ke zřízení bednění podest schodišť za podpěrnou konstrukci přes 4 do 6 m</t>
  </si>
  <si>
    <t>-620624576</t>
  </si>
  <si>
    <t>Bednění podest, podstupňových desek a ramp včetně podpěrné konstrukce Příplatek k cenám za podpěrnou konstrukci o výšce přes 4 do 6 m zřízení</t>
  </si>
  <si>
    <t>https://podminky.urs.cz/item/CS_URS_2022_02/431351128</t>
  </si>
  <si>
    <t>431351129</t>
  </si>
  <si>
    <t>Příplatek k odstranění bednění podest schodišť za podpěrnou konstrukci přes 4 do 6 m</t>
  </si>
  <si>
    <t>383114574</t>
  </si>
  <si>
    <t>Bednění podest, podstupňových desek a ramp včetně podpěrné konstrukce Příplatek k cenám za podpěrnou konstrukci o výšce přes 4 do 6 m odstranění</t>
  </si>
  <si>
    <t>https://podminky.urs.cz/item/CS_URS_2022_02/431351129</t>
  </si>
  <si>
    <t>434351141</t>
  </si>
  <si>
    <t>Zřízení bednění stupňů přímočarých schodišť</t>
  </si>
  <si>
    <t>616554768</t>
  </si>
  <si>
    <t>Bednění stupňů betonovaných na podstupňové desce nebo na terénu půdorysně přímočarých zřízení</t>
  </si>
  <si>
    <t>https://podminky.urs.cz/item/CS_URS_2022_02/434351141</t>
  </si>
  <si>
    <t xml:space="preserve">Poznámka k souboru cen:
1. Množství měrných jednotek bednění stupňů se určuje v m2 plochy stupnic a podstupnic.
</t>
  </si>
  <si>
    <t>0,2*(0,3*2+1,5)*(10+6+11)</t>
  </si>
  <si>
    <t>434351142</t>
  </si>
  <si>
    <t>Odstranění bednění stupňů přímočarých schodišť</t>
  </si>
  <si>
    <t>440465422</t>
  </si>
  <si>
    <t>Bednění stupňů betonovaných na podstupňové desce nebo na terénu půdorysně přímočarých odstranění</t>
  </si>
  <si>
    <t>https://podminky.urs.cz/item/CS_URS_2022_02/434351142</t>
  </si>
  <si>
    <t>1031788213</t>
  </si>
  <si>
    <t>301,700*0,02</t>
  </si>
  <si>
    <t>1943780217</t>
  </si>
  <si>
    <t>23,6+21,6+11,8+4,8+7,9+171+9+4,3+3,8+2+41,9</t>
  </si>
  <si>
    <t>1945248109</t>
  </si>
  <si>
    <t>17,5*2+9,855*2</t>
  </si>
  <si>
    <t>6,2*2+13,7*2</t>
  </si>
  <si>
    <t>1,8*4+2,55*2+1,2*2+2,15*2+1,31*2+3,53*4</t>
  </si>
  <si>
    <t>3,85*2+4,25*2</t>
  </si>
  <si>
    <t>0,9*2+1,6*2+1,2*2+1,335*6</t>
  </si>
  <si>
    <t>1,2*4+1,2*4+2,8*2+1,2+2+1,2*2+1,9*2</t>
  </si>
  <si>
    <t>992640067</t>
  </si>
  <si>
    <t>642942721</t>
  </si>
  <si>
    <t>Osazování zárubní nebo rámů dveřních kovových přes 2,5 do 4,5 m2 na montážní pěnu</t>
  </si>
  <si>
    <t>1654399679</t>
  </si>
  <si>
    <t>Osazování zárubní nebo rámů kovových dveřních lisovaných nebo z úhelníků bez dveřních křídel na montážní pěnu, plochy otvoru přes 2,5 do 4,5 m2</t>
  </si>
  <si>
    <t>https://podminky.urs.cz/item/CS_URS_2022_02/642942721</t>
  </si>
  <si>
    <t>1256375568</t>
  </si>
  <si>
    <t>1655248548</t>
  </si>
  <si>
    <t>55331488</t>
  </si>
  <si>
    <t>zárubeň jednokřídlá ocelová pro zdění tl stěny 110-150mm rozměru 900/1970, 2100mm</t>
  </si>
  <si>
    <t>1164058898</t>
  </si>
  <si>
    <t>55331756</t>
  </si>
  <si>
    <t>zárubeň dvoukřídlá ocelová pro zdění tl stěny 260-300mm rozměru 1450/1970, 2100mm</t>
  </si>
  <si>
    <t>-805455634</t>
  </si>
  <si>
    <t>642945111</t>
  </si>
  <si>
    <t>Osazování protipožárních nebo protiplynových zárubní dveří jednokřídlových do 2,5 m2</t>
  </si>
  <si>
    <t>2076499112</t>
  </si>
  <si>
    <t>Osazování ocelových zárubní protipožárních nebo protiplynových dveří do vynechaného otvoru, s obetonováním, dveří jednokřídlových do 2,5 m2</t>
  </si>
  <si>
    <t>https://podminky.urs.cz/item/CS_URS_2022_02/642945111</t>
  </si>
  <si>
    <t>55331557</t>
  </si>
  <si>
    <t>zárubeň jednokřídlá ocelová pro zdění s protipožární úpravou tl stěny 75-100mm rozměru 800/1970, 2100mm - EI30</t>
  </si>
  <si>
    <t>-969719848</t>
  </si>
  <si>
    <t>55331563</t>
  </si>
  <si>
    <t>zárubeň jednokřídlá ocelová pro zdění s protipožární úpravou tl stěny 110-150mm rozměru 900/1970, 2100mm- EI30</t>
  </si>
  <si>
    <t>-1453778739</t>
  </si>
  <si>
    <t>-1002947284</t>
  </si>
  <si>
    <t>-13795411</t>
  </si>
  <si>
    <t>1583894016</t>
  </si>
  <si>
    <t>-1173835688</t>
  </si>
  <si>
    <t>953961213</t>
  </si>
  <si>
    <t>Kotvy chemickou patronou M 12 hl 110 mm do betonu, ŽB nebo kamene s vyvrtáním otvoru</t>
  </si>
  <si>
    <t>-258715412</t>
  </si>
  <si>
    <t>Kotvy chemické s vyvrtáním otvoru do betonu, železobetonu nebo tvrdého kamene chemická patrona, velikost M 12, hloubka 110 mm</t>
  </si>
  <si>
    <t>https://podminky.urs.cz/item/CS_URS_2022_02/953961213</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</si>
  <si>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</si>
  <si>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953965122</t>
  </si>
  <si>
    <t>Kotevní šroub pro chemické kotvy M 12 dl 220 mm</t>
  </si>
  <si>
    <t>-261091370</t>
  </si>
  <si>
    <t>Kotvy chemické s vyvrtáním otvoru kotevní šrouby pro chemické kotvy, velikost M 12, délka 220 mm</t>
  </si>
  <si>
    <t>https://podminky.urs.cz/item/CS_URS_2022_02/953965122</t>
  </si>
  <si>
    <t>974042564</t>
  </si>
  <si>
    <t>Vysekání rýh v dlažbě betonové nebo jiné monolitické hl do 150 mm š do 150 mm</t>
  </si>
  <si>
    <t>169987971</t>
  </si>
  <si>
    <t>Vysekání rýh v betonové nebo jiné monolitické dlažbě s betonovým podkladem do hl. 150 mm a šířky do 150 mm</t>
  </si>
  <si>
    <t>https://podminky.urs.cz/item/CS_URS_2022_02/974042564</t>
  </si>
  <si>
    <t>odhadit ozub plochého průvlaku</t>
  </si>
  <si>
    <t>3,85*2+0,12*4+2,5*2+0,12*4</t>
  </si>
  <si>
    <t>-1557942312</t>
  </si>
  <si>
    <t>1025073680</t>
  </si>
  <si>
    <t>0,683*2 'Přepočtené koeficientem množství</t>
  </si>
  <si>
    <t>-273738655</t>
  </si>
  <si>
    <t>-497629368</t>
  </si>
  <si>
    <t>0,683*19 'Přepočtené koeficientem množství</t>
  </si>
  <si>
    <t>-683720963</t>
  </si>
  <si>
    <t>1028504961</t>
  </si>
  <si>
    <t>1125320515</t>
  </si>
  <si>
    <t>3,5*2,5</t>
  </si>
  <si>
    <t>62853004</t>
  </si>
  <si>
    <t>pás asfaltový natavitelný modifikovaný SBS tl 4,0mm s vložkou ze skleněné tkaniny a spalitelnou PE fólií nebo jemnozrnným minerálním posypem na horním povrchu</t>
  </si>
  <si>
    <t>-108230141</t>
  </si>
  <si>
    <t>8,75*1,2 'Přepočtené koeficientem množství</t>
  </si>
  <si>
    <t>-869829643</t>
  </si>
  <si>
    <t>-1397481516</t>
  </si>
  <si>
    <t>767995114</t>
  </si>
  <si>
    <t>Montáž atypických zámečnických konstrukcí hm přes 20 do 50 kg</t>
  </si>
  <si>
    <t>-6480512</t>
  </si>
  <si>
    <t>Montáž ostatních atypických zámečnických konstrukcí hmotnosti přes 20 do 50 kg</t>
  </si>
  <si>
    <t>https://podminky.urs.cz/item/CS_URS_2022_02/767995114</t>
  </si>
  <si>
    <t>12,2*(1,31+1,7)</t>
  </si>
  <si>
    <t>13010528</t>
  </si>
  <si>
    <t>úhelník ocelový nerovnostranný jakost S235JR (11 375) 120x80x8mm</t>
  </si>
  <si>
    <t>1211817205</t>
  </si>
  <si>
    <t>úhelník ocelový nerovnostranný jakost 11 375 120x80x8mm</t>
  </si>
  <si>
    <t>12,2*(1,31+1,7)/1000</t>
  </si>
  <si>
    <t>0,037*1,1 'Přepočtené koeficientem množství</t>
  </si>
  <si>
    <t>813886073</t>
  </si>
  <si>
    <t>226861313</t>
  </si>
  <si>
    <t>1097460536</t>
  </si>
  <si>
    <t>E12 - Osazení výplní pláště, rozvody TZB, vnitřní omítky, těžké plovoucí podlahy, sta. úpravy a oprava ter</t>
  </si>
  <si>
    <t>612131101</t>
  </si>
  <si>
    <t>Cementový postřik vnitřních stěn nanášený celoplošně ručně</t>
  </si>
  <si>
    <t>148957143</t>
  </si>
  <si>
    <t>Podkladní a spojovací vrstva vnitřních omítaných ploch cementový postřik nanášený ručně celoplošně stěn</t>
  </si>
  <si>
    <t>https://podminky.urs.cz/item/CS_URS_2022_02/612131101</t>
  </si>
  <si>
    <t>612131121</t>
  </si>
  <si>
    <t>Penetrační disperzní nátěr vnitřních stěn nanášený ručně</t>
  </si>
  <si>
    <t>-1708356660</t>
  </si>
  <si>
    <t>Podkladní a spojovací vrstva vnitřních omítaných ploch penetrace disperzní nanášená ručně stěn</t>
  </si>
  <si>
    <t>https://podminky.urs.cz/item/CS_URS_2022_02/612131121</t>
  </si>
  <si>
    <t>-536113926</t>
  </si>
  <si>
    <t>1621,044</t>
  </si>
  <si>
    <t>612142001</t>
  </si>
  <si>
    <t>Potažení vnitřních stěn sklovláknitým pletivem vtlačeným do tenkovrstvé hmoty</t>
  </si>
  <si>
    <t>-961443809</t>
  </si>
  <si>
    <t>Potažení vnitřních ploch pletivem v ploše nebo pruzích, na plném podkladu sklovláknitým vtlačením do tmelu stěn</t>
  </si>
  <si>
    <t>https://podminky.urs.cz/item/CS_URS_2022_02/612142001</t>
  </si>
  <si>
    <t>612321121</t>
  </si>
  <si>
    <t>Vápenocementová omítka hladká jednovrstvá vnitřních stěn nanášená ručně</t>
  </si>
  <si>
    <t>-1091351868</t>
  </si>
  <si>
    <t>Omítka vápenocementová vnitřních ploch nanášená ručně jednovrstvá, tloušťky do 10 mm hladká svislých konstrukcí stěn</t>
  </si>
  <si>
    <t>https://podminky.urs.cz/item/CS_URS_2022_02/612321121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</si>
  <si>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</si>
  <si>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2,65*(24*2+13,3*2+2,95+7,95+6,2+8,2)</t>
  </si>
  <si>
    <t>-0,8*2*2</t>
  </si>
  <si>
    <t>3,95*(24*2+13,7*2+3,835*2)</t>
  </si>
  <si>
    <t>-2,4*2,4-2,4*2,4*8</t>
  </si>
  <si>
    <t>-1,1*2,1-0,9*0,9*7-0,6*0,9</t>
  </si>
  <si>
    <t>2*(50,563+5,25+65,364+112,623)</t>
  </si>
  <si>
    <t>3,95*(24*2+13,7*2)</t>
  </si>
  <si>
    <t>-3,6*2,4*2-2,4*2,4*3-1,8*2,4</t>
  </si>
  <si>
    <t>-1,5*2</t>
  </si>
  <si>
    <t>2*(158,190+53,624+30,525)</t>
  </si>
  <si>
    <t>612321191</t>
  </si>
  <si>
    <t>Příplatek k vápenocementové omítce vnitřních stěn za každých dalších 5 mm tloušťky ručně</t>
  </si>
  <si>
    <t>172000947</t>
  </si>
  <si>
    <t>Omítka vápenocementová vnitřních ploch nanášená ručně Příplatek k cenám za každých dalších i započatých 5 mm tloušťky omítky přes 10 mm stěn</t>
  </si>
  <si>
    <t>https://podminky.urs.cz/item/CS_URS_2022_02/612321191</t>
  </si>
  <si>
    <t>1693,940*3</t>
  </si>
  <si>
    <t>612325111</t>
  </si>
  <si>
    <t>Vápenocementová hladká omítka rýh ve stěnách š do 150 mm</t>
  </si>
  <si>
    <t>-601865738</t>
  </si>
  <si>
    <t>Vápenocementová omítka rýh hladká ve stěnách, šířky rýhy do 150 mm</t>
  </si>
  <si>
    <t>https://podminky.urs.cz/item/CS_URS_2022_02/612325111</t>
  </si>
  <si>
    <t>110*0,1</t>
  </si>
  <si>
    <t>50*0,1</t>
  </si>
  <si>
    <t>100*0,15</t>
  </si>
  <si>
    <t>612381006</t>
  </si>
  <si>
    <t>Tenkovrstvá minerální zatíraná (škrábaná) omítka zrnitost 1,0 mm vnitřních stěn</t>
  </si>
  <si>
    <t>-57404251</t>
  </si>
  <si>
    <t>Omítka tenkovrstvá minerální vnitřních ploch bez penetrace zatíraná (škrábaná), zrnitost 1,0 mm svislých konstrukcí stěn v podlaží i na schodišti</t>
  </si>
  <si>
    <t>https://podminky.urs.cz/item/CS_URS_2022_02/612381006</t>
  </si>
  <si>
    <t>obklady - viz E14</t>
  </si>
  <si>
    <t>-72,896</t>
  </si>
  <si>
    <t>omítky</t>
  </si>
  <si>
    <t>1693,94</t>
  </si>
  <si>
    <t>613131121</t>
  </si>
  <si>
    <t>Penetrační disperzní nátěr vnitřních pilířů nebo sloupů nanášený ručně</t>
  </si>
  <si>
    <t>2131000938</t>
  </si>
  <si>
    <t>Podkladní a spojovací vrstva vnitřních omítaných ploch penetrace disperzní nanášená ručně pilířů nebo sloupů</t>
  </si>
  <si>
    <t>https://podminky.urs.cz/item/CS_URS_2022_02/613131121</t>
  </si>
  <si>
    <t>2,65*0,4*4*20</t>
  </si>
  <si>
    <t>3,95*0,4*4*20</t>
  </si>
  <si>
    <t>-743485071</t>
  </si>
  <si>
    <t>337,6</t>
  </si>
  <si>
    <t>613142001</t>
  </si>
  <si>
    <t>Potažení vnitřních pilířů nebo sloupů sklovláknitým pletivem vtlačeným do tenkovrstvé hmoty</t>
  </si>
  <si>
    <t>-1511596366</t>
  </si>
  <si>
    <t>Potažení vnitřních ploch pletivem v ploše nebo pruzích, na plném podkladu sklovláknitým vtlačením do tmelu pilířů nebo sloupů</t>
  </si>
  <si>
    <t>https://podminky.urs.cz/item/CS_URS_2022_02/613142001</t>
  </si>
  <si>
    <t>613381006</t>
  </si>
  <si>
    <t>Tenkovrstvá minerální zatíraná (škrábaná) omítka zrnitost 1,0 mm vnitřních pilířů nebo sloupů</t>
  </si>
  <si>
    <t>-1116730490</t>
  </si>
  <si>
    <t>Omítka tenkovrstvá minerální vnitřních ploch bez penetrace zatíraná (škrábaná), zrnitost 1,0 mm svislých konstrukcí pilířů nebo sloupů</t>
  </si>
  <si>
    <t>https://podminky.urs.cz/item/CS_URS_2022_02/613381006</t>
  </si>
  <si>
    <t>632441223</t>
  </si>
  <si>
    <t>Potěr anhydritový samonivelační litý C30 tl přes 35 do 40 mm</t>
  </si>
  <si>
    <t>-693863449</t>
  </si>
  <si>
    <t>Potěr anhydritový samonivelační litý tř. C 30, tl. přes 35 do 40 mm</t>
  </si>
  <si>
    <t>https://podminky.urs.cz/item/CS_URS_2022_02/632441223</t>
  </si>
  <si>
    <t xml:space="preserve">Poznámka k souboru cen:
1. Ceny jsou určeny pro roznášecí vrstvu těžkých plovoucích podlah, pro potěr podlahového vytápění, pro potěr na oddělovací vrstvě a jako náhrada cementových potěrů (kromě vlhkých provozů).
</t>
  </si>
  <si>
    <t>632441225</t>
  </si>
  <si>
    <t>Potěr anhydritový samonivelační litý C30 tl přes 45 do 50 mm</t>
  </si>
  <si>
    <t>673942204</t>
  </si>
  <si>
    <t>Potěr anhydritový samonivelační litý tř. C 30, tl. přes 45 do 50 mm</t>
  </si>
  <si>
    <t>https://podminky.urs.cz/item/CS_URS_2022_02/632441225</t>
  </si>
  <si>
    <t>632441293</t>
  </si>
  <si>
    <t>Příplatek k anhydritovému samonivelačnímu litému potěru C30 ZKD 5 mm tl přes 50 mm</t>
  </si>
  <si>
    <t>1596075936</t>
  </si>
  <si>
    <t>Potěr anhydritový samonivelační litý Příplatek k cenám za každých dalších i započatých 5 mm tloušťky přes 50 mm tř. C 30</t>
  </si>
  <si>
    <t>https://podminky.urs.cz/item/CS_URS_2022_02/632441293</t>
  </si>
  <si>
    <t>2,940*6</t>
  </si>
  <si>
    <t>632481213</t>
  </si>
  <si>
    <t>Separační vrstva z PE fólie</t>
  </si>
  <si>
    <t>-464569260</t>
  </si>
  <si>
    <t>Separační vrstva k oddělení podlahových vrstev z polyetylénové fólie</t>
  </si>
  <si>
    <t>https://podminky.urs.cz/item/CS_URS_2022_02/632481213</t>
  </si>
  <si>
    <t>634112112</t>
  </si>
  <si>
    <t>Obvodová dilatace podlahovým páskem z pěnového PE mezi stěnou a mazaninou nebo potěrem v 100 mm</t>
  </si>
  <si>
    <t>-713824265</t>
  </si>
  <si>
    <t>Obvodová dilatace mezi stěnou a mazaninou nebo potěrem podlahovým páskem z pěnového PE tl. do 10 mm, výšky 100 mm</t>
  </si>
  <si>
    <t>https://podminky.urs.cz/item/CS_URS_2022_02/634112112</t>
  </si>
  <si>
    <t>186,460</t>
  </si>
  <si>
    <t>158,405</t>
  </si>
  <si>
    <t>-1165669793</t>
  </si>
  <si>
    <t>-681473244</t>
  </si>
  <si>
    <t>974031143</t>
  </si>
  <si>
    <t>Vysekání rýh ve zdivu cihelném hl do 70 mm š do 100 mm</t>
  </si>
  <si>
    <t>-1204165508</t>
  </si>
  <si>
    <t>Vysekání rýh ve zdivu cihelném na maltu vápennou nebo vápenocementovou do hl. 70 mm a šířky do 100 mm</t>
  </si>
  <si>
    <t>https://podminky.urs.cz/item/CS_URS_2022_02/974031143</t>
  </si>
  <si>
    <t>974031153</t>
  </si>
  <si>
    <t>Vysekání rýh ve zdivu cihelném hl do 100 mm š do 100 mm</t>
  </si>
  <si>
    <t>17025947</t>
  </si>
  <si>
    <t>Vysekání rýh ve zdivu cihelném na maltu vápennou nebo vápenocementovou do hl. 100 mm a šířky do 100 mm</t>
  </si>
  <si>
    <t>https://podminky.urs.cz/item/CS_URS_2022_02/974031153</t>
  </si>
  <si>
    <t>974031164</t>
  </si>
  <si>
    <t>Vysekání rýh ve zdivu cihelném hl do 150 mm š do 150 mm</t>
  </si>
  <si>
    <t>2108835322</t>
  </si>
  <si>
    <t>Vysekání rýh ve zdivu cihelném na maltu vápennou nebo vápenocementovou do hl. 150 mm a šířky do 150 mm</t>
  </si>
  <si>
    <t>https://podminky.urs.cz/item/CS_URS_2022_02/974031164</t>
  </si>
  <si>
    <t>-967640752</t>
  </si>
  <si>
    <t>489003883</t>
  </si>
  <si>
    <t>6,33*2 'Přepočtené koeficientem množství</t>
  </si>
  <si>
    <t>-503965363</t>
  </si>
  <si>
    <t>207259107</t>
  </si>
  <si>
    <t>6,33*19 'Přepočtené koeficientem množství</t>
  </si>
  <si>
    <t>2040250610</t>
  </si>
  <si>
    <t>-722189062</t>
  </si>
  <si>
    <t>713121111</t>
  </si>
  <si>
    <t>Montáž izolace tepelné podlah volně kladenými rohožemi, pásy, dílci, deskami 1 vrstva</t>
  </si>
  <si>
    <t>680385127</t>
  </si>
  <si>
    <t>Montáž tepelné izolace podlah rohožemi, pásy, deskami, dílci, bloky (izolační materiál ve specifikaci) kladenými volně jednovrstvá</t>
  </si>
  <si>
    <t>https://podminky.urs.cz/item/CS_URS_2022_02/713121111</t>
  </si>
  <si>
    <t xml:space="preserve">Poznámka k souboru cen:
1. Množství tepelné izolace podlah okrajovými pásky k ceně -1211 se určuje v m projektované délky obložení (bez přesahů) na obvodu podlahy.
</t>
  </si>
  <si>
    <t>63150942</t>
  </si>
  <si>
    <t>deska tepelně izolační minerální plovoucích podlah λ=0,033-0,035 tl 15mm</t>
  </si>
  <si>
    <t>897445038</t>
  </si>
  <si>
    <t>deska tepelně izolační minerální plovoucích podlah  λ=0,033-0,035 tl 15mm</t>
  </si>
  <si>
    <t>23,6+21,6+4,8+7,9+171+9+4,3+3,8+2</t>
  </si>
  <si>
    <t>539,2*1,1 'Přepočtené koeficientem množství</t>
  </si>
  <si>
    <t>28375019</t>
  </si>
  <si>
    <t>deska EPS 70 pro konstrukce s malým zatížením λ=0,039 tl 200mm</t>
  </si>
  <si>
    <t>1135980530</t>
  </si>
  <si>
    <t>deska EPS 70 se zvýšenou pevností λ=0,039 tl 200mm</t>
  </si>
  <si>
    <t>výtah</t>
  </si>
  <si>
    <t>2,1*1,4</t>
  </si>
  <si>
    <t>2,94*1,1 'Přepočtené koeficientem množství</t>
  </si>
  <si>
    <t>1544176510</t>
  </si>
  <si>
    <t>-337427146</t>
  </si>
  <si>
    <t>766622132</t>
  </si>
  <si>
    <t>Montáž plastových oken plochy přes 1 m2 otevíravých v do 2,5 m s rámem do zdiva včetně těsnících pásek okolo oken</t>
  </si>
  <si>
    <t>2108216620</t>
  </si>
  <si>
    <t>Montáž oken plastových včetně montáže rámu plochy přes 1 m2 otevíravých do zdiva, výšky přes 1,5 do 2,5 m včetně těsnících pásek okolo oken</t>
  </si>
  <si>
    <t>https://podminky.urs.cz/item/CS_URS_2022_02/766622132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</si>
  <si>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</si>
  <si>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2,4*2,4*8</t>
  </si>
  <si>
    <t>2,4*2,4*6</t>
  </si>
  <si>
    <t>3,6*2,4*2</t>
  </si>
  <si>
    <t>2,4*2,4*3</t>
  </si>
  <si>
    <t>1,8*2,4</t>
  </si>
  <si>
    <t>61140054</t>
  </si>
  <si>
    <t>okno plastové otevíravé/sklopné trojsklo přes plochu 1m2 v 1,5-2,5m</t>
  </si>
  <si>
    <t>-1800720386</t>
  </si>
  <si>
    <t>766622216</t>
  </si>
  <si>
    <t>Montáž plastových oken plochy do 1 m2 otevíravých s rámem do zdiva</t>
  </si>
  <si>
    <t>1393533383</t>
  </si>
  <si>
    <t>Montáž oken plastových plochy do 1 m2 včetně montáže rámu otevíravých do zdiva</t>
  </si>
  <si>
    <t>https://podminky.urs.cz/item/CS_URS_2022_02/766622216</t>
  </si>
  <si>
    <t>zpětná montáž oken 90x90cm + 60x90cm</t>
  </si>
  <si>
    <t>vnitřní okna</t>
  </si>
  <si>
    <t>(6+4)</t>
  </si>
  <si>
    <t>55341001R</t>
  </si>
  <si>
    <t>okno Al s fixním zasklením trojsklo do plochy 1m2 EI 30</t>
  </si>
  <si>
    <t>376759487</t>
  </si>
  <si>
    <t>1,25*0,5*(6+4)</t>
  </si>
  <si>
    <t>766660411</t>
  </si>
  <si>
    <t>Montáž vchodových dveří jednokřídlových bez nadsvětlíku do zdiva</t>
  </si>
  <si>
    <t>-944491959</t>
  </si>
  <si>
    <t>Montáž dveřních křídel dřevěných nebo plastových vchodových dveří včetně rámu do zdiva jednokřídlových bez nadsvětlíku</t>
  </si>
  <si>
    <t>https://podminky.urs.cz/item/CS_URS_2022_02/766660411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</si>
  <si>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</si>
  <si>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55341330</t>
  </si>
  <si>
    <t>dveře jednokřídlé Al plné max rozměru otvoru 2,42m2 bezpečnostní třídy RC2</t>
  </si>
  <si>
    <t>-1399156727</t>
  </si>
  <si>
    <t>766660451</t>
  </si>
  <si>
    <t>Montáž vchodových dveří dvoukřídlových bez nadsvětlíku do zdiva</t>
  </si>
  <si>
    <t>-237494147</t>
  </si>
  <si>
    <t>Montáž dveřních křídel dřevěných nebo plastových vchodových dveří včetně rámu do zdiva dvoukřídlových bez nadsvětlíku</t>
  </si>
  <si>
    <t>https://podminky.urs.cz/item/CS_URS_2022_02/766660451</t>
  </si>
  <si>
    <t>zpětná montáž</t>
  </si>
  <si>
    <t>998766102</t>
  </si>
  <si>
    <t>Přesun hmot tonážní pro kce truhlářské v objektech v přes 6 do 12 m</t>
  </si>
  <si>
    <t>-1428239104</t>
  </si>
  <si>
    <t>Přesun hmot pro konstrukce truhlářské stanovený z hmotnosti přesunovaného materiálu vodorovná dopravní vzdálenost do 50 m v objektech výšky přes 6 do 12 m</t>
  </si>
  <si>
    <t>https://podminky.urs.cz/item/CS_URS_2022_02/998766102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</si>
  <si>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</si>
  <si>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998766181</t>
  </si>
  <si>
    <t>Příplatek k přesunu hmot tonážní 766 prováděný bez použití mechanizace</t>
  </si>
  <si>
    <t>-739769992</t>
  </si>
  <si>
    <t>Přesun hmot pro konstrukce truhlářské stanovený z hmotnosti přesunovaného materiálu Příplatek k ceně za přesun prováděný bez použití mechanizace pro jakoukoliv výšku objektu</t>
  </si>
  <si>
    <t>https://podminky.urs.cz/item/CS_URS_2022_02/998766181</t>
  </si>
  <si>
    <t>1168775446</t>
  </si>
  <si>
    <t>E13 - Oprava a stavební úpravy terasy, KZSí stěn a podhledu+ okap.chodníčky, střešní plášť,venk.schodiště</t>
  </si>
  <si>
    <t xml:space="preserve">    1 - Zemní práce</t>
  </si>
  <si>
    <t xml:space="preserve">    771 - Podlahy z dlaždic</t>
  </si>
  <si>
    <t>Zemní práce</t>
  </si>
  <si>
    <t>113107142</t>
  </si>
  <si>
    <t>Odstranění podkladu živičného tl přes 50 do 100 mm ručně</t>
  </si>
  <si>
    <t>-1904916921</t>
  </si>
  <si>
    <t>Odstranění podkladů nebo krytů ručně s přemístěním hmot na skládku na vzdálenost do 3 m nebo s naložením na dopravní prostředek živičných, o tl. vrstvy přes 50 do 100 mm</t>
  </si>
  <si>
    <t>https://podminky.urs.cz/item/CS_URS_2022_02/113107142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</si>
  <si>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</si>
  <si>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0,6*(0,755+3,5)</t>
  </si>
  <si>
    <t>131213701</t>
  </si>
  <si>
    <t>Hloubení nezapažených jam v soudržných horninách třídy těžitelnosti I skupiny 3 ručně</t>
  </si>
  <si>
    <t>-1855523061</t>
  </si>
  <si>
    <t>Hloubení nezapažených jam ručně s urovnáním dna do předepsaného profilu a spádu v hornině třídy těžitelnosti I skupiny 3 soudržných</t>
  </si>
  <si>
    <t>https://podminky.urs.cz/item/CS_URS_2022_02/131213701</t>
  </si>
  <si>
    <t>patky pro schodiště</t>
  </si>
  <si>
    <t>0,3*0,3*0,8*2</t>
  </si>
  <si>
    <t>132212131</t>
  </si>
  <si>
    <t>Hloubení nezapažených rýh šířky do 800 mm v soudržných horninách třídy těžitelnosti I skupiny 3 ručně</t>
  </si>
  <si>
    <t>-1843288089</t>
  </si>
  <si>
    <t>Hloubení nezapažených rýh šířky do 800 mm ručně s urovnáním dna do předepsaného profilu a spádu v hornině třídy těžitelnosti I skupiny 3 soudržných</t>
  </si>
  <si>
    <t>https://podminky.urs.cz/item/CS_URS_2022_02/132212131</t>
  </si>
  <si>
    <t>0,35*(26+15+0,755+3,5)*0,5</t>
  </si>
  <si>
    <t>terasa</t>
  </si>
  <si>
    <t>0,6*0,8*2,4</t>
  </si>
  <si>
    <t>162751117</t>
  </si>
  <si>
    <t>Vodorovné přemístění přes 9 000 do 10000 m výkopku/sypaniny z horniny třídy těžitelnosti I skupiny 1 až 3</t>
  </si>
  <si>
    <t>90489474</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</si>
  <si>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</si>
  <si>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https://podminky.urs.cz/item/CS_URS_2022_02/162751117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</si>
  <si>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</si>
  <si>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</si>
  <si>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Příplatek k vodorovnému přemístění výkopku/sypaniny z horniny třídy těžitelnosti I skupiny 1 až 3 ZKD 1000 m přes 10000 m</t>
  </si>
  <si>
    <t>1105869018</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</si>
  <si>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</si>
  <si>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https://podminky.urs.cz/item/CS_URS_2022_02/162751119</t>
  </si>
  <si>
    <t>9,216*10 'Přepočtené koeficientem množství</t>
  </si>
  <si>
    <t>171201231</t>
  </si>
  <si>
    <t>Poplatek za uložení zeminy a kamení na recyklační skládce (skládkovné) kód odpadu 17 05 04</t>
  </si>
  <si>
    <t>589360612</t>
  </si>
  <si>
    <t>Poplatek za uložení stavebního odpadu na recyklační skládce (skládkovné) zeminy a kamení zatříděného do Katalogu odpadů pod kódem 17 05 04</t>
  </si>
  <si>
    <t>https://podminky.urs.cz/item/CS_URS_2022_02/171201231</t>
  </si>
  <si>
    <t>9,216*1,8 'Přepočtené koeficientem množství</t>
  </si>
  <si>
    <t>171251201</t>
  </si>
  <si>
    <t>Uložení sypaniny na skládky nebo meziskládky</t>
  </si>
  <si>
    <t>-1431826200</t>
  </si>
  <si>
    <t>Uložení sypaniny na skládky nebo meziskládky bez hutnění s upravením uložené sypaniny do předepsaného tvaru</t>
  </si>
  <si>
    <t>https://podminky.urs.cz/item/CS_URS_2022_02/171251201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</si>
  <si>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</si>
  <si>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274313711</t>
  </si>
  <si>
    <t>Základové pásy z betonu tř. C 20/25</t>
  </si>
  <si>
    <t>1451118853</t>
  </si>
  <si>
    <t>Základy z betonu prostého pasy betonu kamenem neprokládaného tř. C 20/25</t>
  </si>
  <si>
    <t>https://podminky.urs.cz/item/CS_URS_2022_02/274313711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</si>
  <si>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</si>
  <si>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275313711</t>
  </si>
  <si>
    <t>Základové patky z betonu tř. C 20/25</t>
  </si>
  <si>
    <t>-1393580641</t>
  </si>
  <si>
    <t>Základy z betonu prostého patky a bloky z betonu kamenem neprokládaného tř. C 20/25</t>
  </si>
  <si>
    <t>https://podminky.urs.cz/item/CS_URS_2022_02/275313711</t>
  </si>
  <si>
    <t>311270731</t>
  </si>
  <si>
    <t>Zdivo z přesných vápenopískových plných tvárnic 10DF do P15 tl 300 mm</t>
  </si>
  <si>
    <t>-994105331</t>
  </si>
  <si>
    <t>Zdivo z přesných vápenopískových tvárnic na tenkovrstvou maltu, tloušťka zdiva 300 mm, formát a rozměr cihel 10DF 248x300x248 mm plných, pevnosti do P15</t>
  </si>
  <si>
    <t>https://podminky.urs.cz/item/CS_URS_2022_02/311270731</t>
  </si>
  <si>
    <t>2,4*1,4</t>
  </si>
  <si>
    <t>649106875</t>
  </si>
  <si>
    <t>2,8*2,4*0,16</t>
  </si>
  <si>
    <t>0,3*0,15/2*2,8*8</t>
  </si>
  <si>
    <t>1208585773</t>
  </si>
  <si>
    <t>KARI 100/100/8</t>
  </si>
  <si>
    <t>2,8*2,4*1,15*7,9/1000</t>
  </si>
  <si>
    <t>1235410411</t>
  </si>
  <si>
    <t>785488182</t>
  </si>
  <si>
    <t>-1193733811</t>
  </si>
  <si>
    <t>0,2*(2,8+0,3*2)*8</t>
  </si>
  <si>
    <t>-1071167774</t>
  </si>
  <si>
    <t>621211041</t>
  </si>
  <si>
    <t>Montáž kontaktního zateplení vnějších podhledů lepením a mechanickým kotvením polystyrénových desek do betonu nebo zdiva tl přes 160 do 200 mm</t>
  </si>
  <si>
    <t>872755403</t>
  </si>
  <si>
    <t>Montáž kontaktního zateplení lepením a mechanickým kotvením z polystyrenových desek na vnější podhledy, na podklad betonový nebo z lehčeného betonu, z tvárnic keramických nebo vápenopískových, tloušťky desek přes 160 do 200 mm</t>
  </si>
  <si>
    <t>https://podminky.urs.cz/item/CS_URS_2022_02/621211041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</si>
  <si>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</si>
  <si>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24*13,25-0,4*0,4*20</t>
  </si>
  <si>
    <t>-2,4*1,7</t>
  </si>
  <si>
    <t>28375954</t>
  </si>
  <si>
    <t>deska EPS 70 fasádní λ=0,039 tl 200mm</t>
  </si>
  <si>
    <t>-1219385128</t>
  </si>
  <si>
    <t>310,72*1,1 'Přepočtené koeficientem množství</t>
  </si>
  <si>
    <t>622151011</t>
  </si>
  <si>
    <t>Penetrační silikátový nátěr vnějších pastovitých tenkovrstvých omítek stěn</t>
  </si>
  <si>
    <t>-1964874149</t>
  </si>
  <si>
    <t>Penetrační nátěr vnějších pastovitých tenkovrstvých omítek silikátový paropropustný stěn</t>
  </si>
  <si>
    <t>https://podminky.urs.cz/item/CS_URS_2022_02/622151011</t>
  </si>
  <si>
    <t>622151021</t>
  </si>
  <si>
    <t>Penetrační akrylátový nátěr vnějších mozaikových tenkovrstvých omítek stěn</t>
  </si>
  <si>
    <t>-192314307</t>
  </si>
  <si>
    <t>Penetrační nátěr vnějších pastovitých tenkovrstvých omítek mozaikových akrylátový stěn</t>
  </si>
  <si>
    <t>https://podminky.urs.cz/item/CS_URS_2022_02/622151021</t>
  </si>
  <si>
    <t>pohled východní</t>
  </si>
  <si>
    <t>2,07*1,47+0,8*1,245</t>
  </si>
  <si>
    <t>pohled  severní</t>
  </si>
  <si>
    <t>23,5</t>
  </si>
  <si>
    <t>pohled jižní</t>
  </si>
  <si>
    <t>pohled západní</t>
  </si>
  <si>
    <t>2,405*0,75+11,7*0,5</t>
  </si>
  <si>
    <t>622211041</t>
  </si>
  <si>
    <t>Montáž kontaktního zateplení vnějších stěn lepením a mechanickým kotvením polystyrénových desek do betonu a zdiva tl přes 160 do 200 mm</t>
  </si>
  <si>
    <t>652295380</t>
  </si>
  <si>
    <t>Montáž kontaktního zateplení lepením a mechanickým kotvením z polystyrenových desek na vnější stěny, na podklad betonový nebo z lehčeného betonu, z tvárnic keramických nebo vápenopískových, tloušťky desek přes 160 do 200 mm</t>
  </si>
  <si>
    <t>https://podminky.urs.cz/item/CS_URS_2022_02/622211041</t>
  </si>
  <si>
    <t>výtah. šachta</t>
  </si>
  <si>
    <t>1,5*(2,8*2+2,1*2)</t>
  </si>
  <si>
    <t>1904786422</t>
  </si>
  <si>
    <t>14,7*1,1 'Přepočtené koeficientem množství</t>
  </si>
  <si>
    <t>-765909236</t>
  </si>
  <si>
    <t>0,25*(8,88+8,58+16,14)</t>
  </si>
  <si>
    <t>sokl</t>
  </si>
  <si>
    <t>0,85*(62,16-16,14)</t>
  </si>
  <si>
    <t>28376449</t>
  </si>
  <si>
    <t>deska XPS hrana rovná a strukturovaný povrch 300kPa tl 200mm</t>
  </si>
  <si>
    <t>1987711825</t>
  </si>
  <si>
    <t>deska z polystyrénu XPS, hrana rovná a strukturovaný povrch 300kPa tl 200mm</t>
  </si>
  <si>
    <t>47,517*1,02 'Přepočtené koeficientem množství</t>
  </si>
  <si>
    <t>622221131</t>
  </si>
  <si>
    <t>Montáž kontaktního zateplení vnějších stěn lepením a mechanickým kotvením desek z minerální vlny s kolmou orientací do zdiva a betonu tl přes 120 do 160 mm</t>
  </si>
  <si>
    <t>76939208</t>
  </si>
  <si>
    <t>Montáž kontaktního zateplení lepením a mechanickým kotvením z desek z minerální vlny s kolmou orientací vláken na vnější stěny, na podklad betonový nebo z lehčeného betonu, z tvárnic keramických nebo vápenopískových, tloušťky desek přes 120 do 160 mm</t>
  </si>
  <si>
    <t>https://podminky.urs.cz/item/CS_URS_2022_02/622221131</t>
  </si>
  <si>
    <t>požární pás na sousedním pavilonu u terasy</t>
  </si>
  <si>
    <t>(1,146+0,246)*7,95</t>
  </si>
  <si>
    <t>63151532</t>
  </si>
  <si>
    <t>deska tepelně izolační minerální kontaktních fasád kolmé vlákno λ=0,040-0,041 tl 140mm</t>
  </si>
  <si>
    <t>1708178615</t>
  </si>
  <si>
    <t>deska tepelně izolační minerální kontaktních fasád kolmé vlákno λ=0,041 tl 140mm</t>
  </si>
  <si>
    <t>11,066*1,1 'Přepočtené koeficientem množství</t>
  </si>
  <si>
    <t>622221141</t>
  </si>
  <si>
    <t>Montáž kontaktního zateplení vnějších stěn lepením a mechanickým kotvením desek z minerální vlny s kolmou orientací do zdiva a betonu tl přes 160 do 200 mm</t>
  </si>
  <si>
    <t>-947341572</t>
  </si>
  <si>
    <t>Montáž kontaktního zateplení lepením a mechanickým kotvením z desek z minerální vlny s kolmou orientací vláken na vnější stěny, na podklad betonový nebo z lehčeného betonu, z tvárnic keramických nebo vápenopískových, tloušťky desek přes 160 do 200 mm</t>
  </si>
  <si>
    <t>https://podminky.urs.cz/item/CS_URS_2022_02/622221141</t>
  </si>
  <si>
    <t>25*9,8</t>
  </si>
  <si>
    <t>14,63*9,35</t>
  </si>
  <si>
    <t>95</t>
  </si>
  <si>
    <t>8,9*1,5+5,9*9,7</t>
  </si>
  <si>
    <t>-(2,4*2,4*8+0,9*0,9*7+0,6*0,9+2,5*2,4+1,1*2,1)</t>
  </si>
  <si>
    <t>-(2,4*2,4*6+3,6*2,4*2+2,4*2,4*3+1,8*2,4)</t>
  </si>
  <si>
    <t>63151535</t>
  </si>
  <si>
    <t>deska tepelně izolační minerální kontaktních fasád kolmé vlákno λ=0,040-0,041 tl 200mm</t>
  </si>
  <si>
    <t>-1374132253</t>
  </si>
  <si>
    <t>deska tepelně izolační minerální kontaktních fasád kolmé vlákno λ=0,041 tl 200mm</t>
  </si>
  <si>
    <t>413,331*1,1 'Přepočtené koeficientem množství</t>
  </si>
  <si>
    <t>622222051</t>
  </si>
  <si>
    <t>Montáž kontaktního zateplení vnějšího ostění, nadpraží nebo parapetu hl. špalety do 400 mm lepením desek z minerální vlny tl do 40 mm</t>
  </si>
  <si>
    <t>1555957439</t>
  </si>
  <si>
    <t>Montáž kontaktního zateplení vnějšího ostění, nadpraží nebo parapetu lepením z desek z minerální vlny s podélnou nebo kolmou orientací vláken nebo z kombinovaných desek hloubky špalet přes 200 do 400 mm, tloušťky desek do 40 mm</t>
  </si>
  <si>
    <t>https://podminky.urs.cz/item/CS_URS_2022_02/622222051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</si>
  <si>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</si>
  <si>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2,4*4*8</t>
  </si>
  <si>
    <t>0,9*4*7+0,6*2+0,9*2</t>
  </si>
  <si>
    <t>2,4*4*(6+1+2)</t>
  </si>
  <si>
    <t>(3,6*2+2,4*2)*2</t>
  </si>
  <si>
    <t>1,8*2+2,4*2</t>
  </si>
  <si>
    <t>1,1+2*2,1</t>
  </si>
  <si>
    <t>2,5+2,4*2</t>
  </si>
  <si>
    <t>63151507</t>
  </si>
  <si>
    <t>deska tepelně izolační minerální kontaktních fasád kolmé vlákno λ=0,040-0,041 tl 40mm</t>
  </si>
  <si>
    <t>-806373644</t>
  </si>
  <si>
    <t>deska tepelně izolační minerální kontaktních fasád kolmé vlákno λ=0,041 tl 40mm</t>
  </si>
  <si>
    <t>236,400*0,25</t>
  </si>
  <si>
    <t>59,1*1,1 'Přepočtené koeficientem množství</t>
  </si>
  <si>
    <t>622251101</t>
  </si>
  <si>
    <t>Příplatek k cenám kontaktního zateplení vnějších stěn za zápustnou montáž a použití tepelněizolačních zátek z polystyrenu</t>
  </si>
  <si>
    <t>-1958723927</t>
  </si>
  <si>
    <t>Montáž kontaktního zateplení lepením a mechanickým kotvením Příplatek k cenám za zápustnou montáž kotev s použitím tepelněizolačních zátek na vnější stěny z polystyrenu</t>
  </si>
  <si>
    <t>https://podminky.urs.cz/item/CS_URS_2022_02/622251101</t>
  </si>
  <si>
    <t>622251105</t>
  </si>
  <si>
    <t>Příplatek k cenám kontaktního zateplení vnějších stěn za zápustnou montáž a použití tepelněizolačních zátek z minerální vlny</t>
  </si>
  <si>
    <t>-1444676940</t>
  </si>
  <si>
    <t>Montáž kontaktního zateplení lepením a mechanickým kotvením Příplatek k cenám za zápustnou montáž kotev s použitím tepelněizolačních zátek na vnější stěny z minerální vlny</t>
  </si>
  <si>
    <t>https://podminky.urs.cz/item/CS_URS_2022_02/622251105</t>
  </si>
  <si>
    <t>KZS MW 200</t>
  </si>
  <si>
    <t>413,331</t>
  </si>
  <si>
    <t>622252001</t>
  </si>
  <si>
    <t>Montáž profilů kontaktního zateplení připevněných mechanicky</t>
  </si>
  <si>
    <t>137128231</t>
  </si>
  <si>
    <t>Montáž profilů kontaktního zateplení zakládacích soklových připevněných hmoždinkami</t>
  </si>
  <si>
    <t>https://podminky.urs.cz/item/CS_URS_2022_02/622252001</t>
  </si>
  <si>
    <t xml:space="preserve">Poznámka k souboru cen:
1. V cenách jsou započteny náklady na osazení lišt.
2. V cenách nejsou započteny náklady dodávku lišt; tyto se ocení ve specifikaci. Ztratné lze stanovit ve výši 5%.
</t>
  </si>
  <si>
    <t>25*2+14,64*2-8,54-8,58</t>
  </si>
  <si>
    <t>59051657</t>
  </si>
  <si>
    <t>profil zakládací Al tl 0,7mm pro ETICS pro izolant tl 200mm</t>
  </si>
  <si>
    <t>-1447289418</t>
  </si>
  <si>
    <t>62,16*1,05 'Přepočtené koeficientem množství</t>
  </si>
  <si>
    <t>59051440</t>
  </si>
  <si>
    <t>spojka plastová zakládacích profilů zateplovacích systémů dl 30mm</t>
  </si>
  <si>
    <t>-817584344</t>
  </si>
  <si>
    <t>59051456</t>
  </si>
  <si>
    <t>podložka distanční pod zakládací lištu 5mm</t>
  </si>
  <si>
    <t>773869203</t>
  </si>
  <si>
    <t>622252002</t>
  </si>
  <si>
    <t>Montáž profilů kontaktního zateplení lepených</t>
  </si>
  <si>
    <t>1376378828</t>
  </si>
  <si>
    <t>Montáž profilů kontaktního zateplení ostatních stěnových, dilatačních apod. lepených do tmelu</t>
  </si>
  <si>
    <t>https://podminky.urs.cz/item/CS_URS_2022_02/622252002</t>
  </si>
  <si>
    <t>59051486</t>
  </si>
  <si>
    <t>profil rohový PVC 15x15mm s výztužnou tkaninou š 100mm pro ETICS</t>
  </si>
  <si>
    <t>-1574655729</t>
  </si>
  <si>
    <t>236,400</t>
  </si>
  <si>
    <t>-56,7-60,3</t>
  </si>
  <si>
    <t>10,6*3+1,5*2</t>
  </si>
  <si>
    <t>154,2*1,05 'Přepočtené koeficientem množství</t>
  </si>
  <si>
    <t>28342205</t>
  </si>
  <si>
    <t>profil začišťovací PVC 6mm s výztužnou tkaninou pro ostění ETICS</t>
  </si>
  <si>
    <t>692508770</t>
  </si>
  <si>
    <t>236,400-56,7</t>
  </si>
  <si>
    <t>179,7*1,05 'Přepočtené koeficientem množství</t>
  </si>
  <si>
    <t>59051510</t>
  </si>
  <si>
    <t>profil začišťovací s okapnicí PVC s výztužnou tkaninou pro nadpraží ETICS</t>
  </si>
  <si>
    <t>1348900102</t>
  </si>
  <si>
    <t>56,700</t>
  </si>
  <si>
    <t>2,5+1,1</t>
  </si>
  <si>
    <t>60,3*1,05 'Přepočtené koeficientem množství</t>
  </si>
  <si>
    <t>59051512</t>
  </si>
  <si>
    <t>profil začišťovací s okapnicí PVC s výztužnou tkaninou pro parapet ETICS</t>
  </si>
  <si>
    <t>-1915274121</t>
  </si>
  <si>
    <t>2,4*8</t>
  </si>
  <si>
    <t>0,9*7+0,6</t>
  </si>
  <si>
    <t>2,4*6+3,6*2+2,4*3+1,8</t>
  </si>
  <si>
    <t>56,7*1,05 'Přepočtené koeficientem množství</t>
  </si>
  <si>
    <t>28342206</t>
  </si>
  <si>
    <t>profil ukončovací PVC s výztužnou tkaninu pro ukončení atiky ETICS</t>
  </si>
  <si>
    <t>-1327813981</t>
  </si>
  <si>
    <t>25*2+14,64*2</t>
  </si>
  <si>
    <t>7,95*2</t>
  </si>
  <si>
    <t>95,18*1,05 'Přepočtené koeficientem množství</t>
  </si>
  <si>
    <t>59051502</t>
  </si>
  <si>
    <t>profil dilatační rohový PVC s výztužnou tkaninou pro ETICS</t>
  </si>
  <si>
    <t>426745665</t>
  </si>
  <si>
    <t>7,95</t>
  </si>
  <si>
    <t>7,95*1,1 'Přepočtené koeficientem množství</t>
  </si>
  <si>
    <t>622321121</t>
  </si>
  <si>
    <t>Vápenocementová omítka hladká jednovrstvá vnějších stěn nanášená ručně</t>
  </si>
  <si>
    <t>760906927</t>
  </si>
  <si>
    <t>Omítka vápenocementová vnějších ploch nanášená ručně jednovrstvá, tloušťky do 15 mm hladká stěn</t>
  </si>
  <si>
    <t>https://podminky.urs.cz/item/CS_URS_2022_02/622321121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</si>
  <si>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</si>
  <si>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1,43*1,92</t>
  </si>
  <si>
    <t>0,95*2,4/2</t>
  </si>
  <si>
    <t>3,5</t>
  </si>
  <si>
    <t>622321191</t>
  </si>
  <si>
    <t>Příplatek k vápenocementové omítce vnějších stěn za každých dalších 5 mm tloušťky ručně</t>
  </si>
  <si>
    <t>2136551289</t>
  </si>
  <si>
    <t>Omítka vápenocementová vnějších ploch nanášená ručně Příplatek k cenám za každých dalších i započatých 5 mm tloušťky omítky přes 15 mm stěn</t>
  </si>
  <si>
    <t>https://podminky.urs.cz/item/CS_URS_2022_02/622321191</t>
  </si>
  <si>
    <t>7,386*2</t>
  </si>
  <si>
    <t>622511112</t>
  </si>
  <si>
    <t>Tenkovrstvá akrylátová mozaiková střednězrnná omítka vnějších stěn</t>
  </si>
  <si>
    <t>-1100688380</t>
  </si>
  <si>
    <t>Omítka tenkovrstvá akrylátová vnějších ploch probarvená bez penetrace mozaiková střednězrnná stěn</t>
  </si>
  <si>
    <t>https://podminky.urs.cz/item/CS_URS_2022_02/622511112</t>
  </si>
  <si>
    <t>622531022</t>
  </si>
  <si>
    <t>Tenkovrstvá silikonová zrnitá omítka zrnitost 2,0 mm vnějších stěn</t>
  </si>
  <si>
    <t>-766158667</t>
  </si>
  <si>
    <t>Omítka tenkovrstvá silikonová vnějších ploch probarvená bez penetrace zatíraná (škrábaná), zrnitost 2,0 mm stěn</t>
  </si>
  <si>
    <t>https://podminky.urs.cz/item/CS_URS_2022_02/622531022</t>
  </si>
  <si>
    <t>14,7</t>
  </si>
  <si>
    <t>8,4</t>
  </si>
  <si>
    <t>špalety</t>
  </si>
  <si>
    <t>59,1</t>
  </si>
  <si>
    <t>632451457</t>
  </si>
  <si>
    <t>Potěr pískocementový tl přes 40 do 50 mm tř. C 30 běžný</t>
  </si>
  <si>
    <t>1411044032</t>
  </si>
  <si>
    <t>Potěr pískocementový běžný tl. přes 40 do 50 mm tř. C 30</t>
  </si>
  <si>
    <t>https://podminky.urs.cz/item/CS_URS_2022_02/632451457</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</si>
  <si>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</si>
  <si>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 xml:space="preserve">terasa </t>
  </si>
  <si>
    <t>15,1</t>
  </si>
  <si>
    <t>632451491</t>
  </si>
  <si>
    <t>Příplatek k potěrům za přehlazení povrchu</t>
  </si>
  <si>
    <t>1511983296</t>
  </si>
  <si>
    <t>Potěr pískocementový běžný Příplatek k cenám za úpravu povrchu přehlazením</t>
  </si>
  <si>
    <t>https://podminky.urs.cz/item/CS_URS_2022_02/632451491</t>
  </si>
  <si>
    <t>635111115</t>
  </si>
  <si>
    <t>Násyp pod podlahy ze štěrkopísku s udusáním</t>
  </si>
  <si>
    <t>790857054</t>
  </si>
  <si>
    <t>Násyp ze štěrkopísku, písku nebo kameniva pod podlahy s udusáním a urovnáním povrchu ze štěrkopísku</t>
  </si>
  <si>
    <t>https://podminky.urs.cz/item/CS_URS_2022_02/635111115</t>
  </si>
  <si>
    <t xml:space="preserve">Poznámka k souboru cen:
1. Ceny jsou určeny pro násyp vodorovný nebo ve spádu pod podlahy, mazaniny, dlažby a pro násypy na plochých střechách.
</t>
  </si>
  <si>
    <t>2,8*2,4*0,3</t>
  </si>
  <si>
    <t>X101</t>
  </si>
  <si>
    <t>Ukončení KZS oplechovat</t>
  </si>
  <si>
    <t>2105202888</t>
  </si>
  <si>
    <t>640788692</t>
  </si>
  <si>
    <t>27*10</t>
  </si>
  <si>
    <t>15,5*10</t>
  </si>
  <si>
    <t>15,5*7</t>
  </si>
  <si>
    <t>1656102168</t>
  </si>
  <si>
    <t>533,500*90</t>
  </si>
  <si>
    <t>2072294449</t>
  </si>
  <si>
    <t>-539390711</t>
  </si>
  <si>
    <t>1604953313</t>
  </si>
  <si>
    <t>-1263890556</t>
  </si>
  <si>
    <t>650358239</t>
  </si>
  <si>
    <t>-1034938366</t>
  </si>
  <si>
    <t>2*(25+15*2)</t>
  </si>
  <si>
    <t>953961112</t>
  </si>
  <si>
    <t>Kotvy chemickým tmelem M 10 hl 90 mm do betonu, ŽB nebo kamene s vyvrtáním otvoru</t>
  </si>
  <si>
    <t>-1538560454</t>
  </si>
  <si>
    <t>Kotvy chemické s vyvrtáním otvoru do betonu, železobetonu nebo tvrdého kamene tmel, velikost M 10, hloubka 90 mm</t>
  </si>
  <si>
    <t>https://podminky.urs.cz/item/CS_URS_2022_02/953961112</t>
  </si>
  <si>
    <t>kotvení OSB desky do atiky</t>
  </si>
  <si>
    <t>(24,6*2+14,2*2)*2</t>
  </si>
  <si>
    <t>953965117</t>
  </si>
  <si>
    <t>Kotevní šroub pro chemické kotvy M 10 dl 190 mm</t>
  </si>
  <si>
    <t>-588273293</t>
  </si>
  <si>
    <t>Kotvy chemické s vyvrtáním otvoru kotevní šrouby pro chemické kotvy, velikost M 10, délka 190 mm</t>
  </si>
  <si>
    <t>https://podminky.urs.cz/item/CS_URS_2022_02/953965117</t>
  </si>
  <si>
    <t>961055111</t>
  </si>
  <si>
    <t>Bourání základů ze ŽB</t>
  </si>
  <si>
    <t>1771548162</t>
  </si>
  <si>
    <t>Bourání základů z betonu železového</t>
  </si>
  <si>
    <t>https://podminky.urs.cz/item/CS_URS_2022_02/961055111</t>
  </si>
  <si>
    <t>terasa - vybourání prostoru pro schodiště</t>
  </si>
  <si>
    <t>0,25*2,4*1,65</t>
  </si>
  <si>
    <t>0,3*(2,85-1,65)*2,4</t>
  </si>
  <si>
    <t>2,85*0,3*1,35</t>
  </si>
  <si>
    <t>1703792760</t>
  </si>
  <si>
    <t>9*0,15</t>
  </si>
  <si>
    <t>(4,2*4,0+2,3*1,2)*0,1</t>
  </si>
  <si>
    <t>1607719428</t>
  </si>
  <si>
    <t>4,2*4,0+2,3*1,2</t>
  </si>
  <si>
    <t>(0,3+0,15)*9*1,2</t>
  </si>
  <si>
    <t>965081343</t>
  </si>
  <si>
    <t>Bourání podlah z dlaždic betonových, teracových nebo čedičových tl do 40 mm plochy přes 1 m2</t>
  </si>
  <si>
    <t>-167346219</t>
  </si>
  <si>
    <t>Bourání podlah z dlaždic bez podkladního lože nebo mazaniny, s jakoukoliv výplní spár betonových, teracových nebo čedičových tl. do 40 mm, plochy přes 1 m2</t>
  </si>
  <si>
    <t>https://podminky.urs.cz/item/CS_URS_2022_02/965081343</t>
  </si>
  <si>
    <t>okap.chodníčky</t>
  </si>
  <si>
    <t>0,6*15</t>
  </si>
  <si>
    <t>966080105</t>
  </si>
  <si>
    <t>Bourání kontaktního zateplení z polystyrenových desek tl přes 120 do 180 mm</t>
  </si>
  <si>
    <t>-373697631</t>
  </si>
  <si>
    <t>Bourání kontaktního zateplení včetně povrchové úpravy omítkou nebo nátěrem z polystyrénových desek, tloušťky přes 120 do 180 mm</t>
  </si>
  <si>
    <t>https://podminky.urs.cz/item/CS_URS_2022_02/966080105</t>
  </si>
  <si>
    <t>3,5*(3,76*2+12,52)-0,9*0,9*2-1,55*2,05</t>
  </si>
  <si>
    <t>obv.plášť</t>
  </si>
  <si>
    <t>9,7*(14,24+5,7)-0,9*0,9*(3+8+3+6)-0,6*0,6-0,6*0,9</t>
  </si>
  <si>
    <t>16,3*5-5,4*0,9*2-1,8*0,9</t>
  </si>
  <si>
    <t>976071111</t>
  </si>
  <si>
    <t>Vybourání kovových madel a zábradlí</t>
  </si>
  <si>
    <t>-377775009</t>
  </si>
  <si>
    <t>Vybourání kovových madel, zábradlí, dvířek, zděří, kotevních želez madel a zábradlí</t>
  </si>
  <si>
    <t>https://podminky.urs.cz/item/CS_URS_2022_02/976071111</t>
  </si>
  <si>
    <t>terasa před vstupem</t>
  </si>
  <si>
    <t>3,9+3,5+2</t>
  </si>
  <si>
    <t>-1316370853</t>
  </si>
  <si>
    <t>-1362327648</t>
  </si>
  <si>
    <t>-728180353</t>
  </si>
  <si>
    <t>143771738</t>
  </si>
  <si>
    <t>1820407614</t>
  </si>
  <si>
    <t>odhad projektanta 10%</t>
  </si>
  <si>
    <t>(2,11*4,0+2,8*1,8)*0,1</t>
  </si>
  <si>
    <t>-1310139599</t>
  </si>
  <si>
    <t>(2,11*4,0+2,8*1,8)*0,2</t>
  </si>
  <si>
    <t>-1958486110</t>
  </si>
  <si>
    <t>122372017</t>
  </si>
  <si>
    <t>2,696+1,348</t>
  </si>
  <si>
    <t>932591962</t>
  </si>
  <si>
    <t>2,696*0,25*5</t>
  </si>
  <si>
    <t>1547973466</t>
  </si>
  <si>
    <t>3,37*0,888*1,1/1000</t>
  </si>
  <si>
    <t>B1</t>
  </si>
  <si>
    <t>D+M budky pro netopýry 22x12x34 cm</t>
  </si>
  <si>
    <t>-228877370</t>
  </si>
  <si>
    <t>B2</t>
  </si>
  <si>
    <t>D+M budky pro rorýse - 4komorové</t>
  </si>
  <si>
    <t>1734107311</t>
  </si>
  <si>
    <t>80</t>
  </si>
  <si>
    <t>-180115110</t>
  </si>
  <si>
    <t>81</t>
  </si>
  <si>
    <t>-36794402</t>
  </si>
  <si>
    <t>23,386*2 'Přepočtené koeficientem množství</t>
  </si>
  <si>
    <t>82</t>
  </si>
  <si>
    <t>-1067463350</t>
  </si>
  <si>
    <t>83</t>
  </si>
  <si>
    <t>116269483</t>
  </si>
  <si>
    <t>23,386*19 'Přepočtené koeficientem množství</t>
  </si>
  <si>
    <t>84</t>
  </si>
  <si>
    <t>1015848524</t>
  </si>
  <si>
    <t>85</t>
  </si>
  <si>
    <t>-2040302835</t>
  </si>
  <si>
    <t>86</t>
  </si>
  <si>
    <t>711191201</t>
  </si>
  <si>
    <t>Provedení izolace proti zemní vlhkosti hydroizolační stěrkou vodorovné na betonu, 2 vrstvy</t>
  </si>
  <si>
    <t>-1591211587</t>
  </si>
  <si>
    <t>Provedení izolace proti zemní vlhkosti hydroizolační stěrkou na ploše vodorovné V dvouvrstvá na betonu</t>
  </si>
  <si>
    <t>https://podminky.urs.cz/item/CS_URS_2022_02/711191201</t>
  </si>
  <si>
    <t xml:space="preserve">Poznámka k souboru cen:
1. V cenách nejsou započteny náklady na dodávku materiálu, tyto se oceňují ve specifikaci.
</t>
  </si>
  <si>
    <t>87</t>
  </si>
  <si>
    <t>24551030</t>
  </si>
  <si>
    <t>stěrka hydroizolační dvousložková cemento-polymerová vlákny vyztužená proti zemní vlhkosti</t>
  </si>
  <si>
    <t>1391008796</t>
  </si>
  <si>
    <t>15,1*3</t>
  </si>
  <si>
    <t>88</t>
  </si>
  <si>
    <t>1903348234</t>
  </si>
  <si>
    <t>89</t>
  </si>
  <si>
    <t>1613082574</t>
  </si>
  <si>
    <t>90</t>
  </si>
  <si>
    <t>712331111</t>
  </si>
  <si>
    <t>Provedení povlakové krytiny střech do 10° podkladní vrstvy pásy na sucho samolepící</t>
  </si>
  <si>
    <t>2129017976</t>
  </si>
  <si>
    <t>Provedení povlakové krytiny střech plochých do 10° pásy na sucho podkladní samolepící asfaltový pás</t>
  </si>
  <si>
    <t>https://podminky.urs.cz/item/CS_URS_2022_02/712331111</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</si>
  <si>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</si>
  <si>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332,508</t>
  </si>
  <si>
    <t>(0,7+0,64)*(24,6*2+14,2*2)</t>
  </si>
  <si>
    <t>91</t>
  </si>
  <si>
    <t>62866281</t>
  </si>
  <si>
    <t>pás asfaltový samolepicí modifikovaný SBS tl 3,0mm s vložkou ze skleněné tkaniny se spalitelnou fólií nebo jemnozrnným minerálním posypem nebo textilií na horním povrchu</t>
  </si>
  <si>
    <t>-1235818375</t>
  </si>
  <si>
    <t>436,492*1,2 'Přepočtené koeficientem množství</t>
  </si>
  <si>
    <t>92</t>
  </si>
  <si>
    <t>105295575</t>
  </si>
  <si>
    <t>93</t>
  </si>
  <si>
    <t>62855010</t>
  </si>
  <si>
    <t>pás asfaltový natavitelný modifikovaný SBS tl 5,2mm s vložkou z polyesterové vyztužené rohože a hrubozrnným břidličným posypem na horním povrchu</t>
  </si>
  <si>
    <t>400446791</t>
  </si>
  <si>
    <t>pruh přes atiku 65 cm</t>
  </si>
  <si>
    <t>(24,6*2+14,2*2)*0,65</t>
  </si>
  <si>
    <t>486,932*1,2 'Přepočtené koeficientem množství</t>
  </si>
  <si>
    <t>94</t>
  </si>
  <si>
    <t>62855007</t>
  </si>
  <si>
    <t>pás asfaltový natavitelný modifikovaný SBS tl 4,5mm s vložkou z polyesterové vyztužené rohože a hrubozrnným břidličným posypem na horním povrchu</t>
  </si>
  <si>
    <t>-596689143</t>
  </si>
  <si>
    <t>pruh š 1,0 m u atiky</t>
  </si>
  <si>
    <t>(24,6*2+14,2*2)*1,0</t>
  </si>
  <si>
    <t>77,6*1,2 'Přepočtené koeficientem množství</t>
  </si>
  <si>
    <t>712341715</t>
  </si>
  <si>
    <t>Provedení povlakové krytiny střech do 10° pásy NAIP přitavením zaizolování prostupů kruhového průřezu D do 300 mm</t>
  </si>
  <si>
    <t>-567252222</t>
  </si>
  <si>
    <t>Provedení povlakové krytiny střech plochých do 10° pásy přitavením NAIP ostatní činnosti při pokládání pásů (materiál ve specifikaci) zaizolování prostupů střešní rovinou kruhový průřez, průměr do 300 mm</t>
  </si>
  <si>
    <t>https://podminky.urs.cz/item/CS_URS_2022_02/712341715</t>
  </si>
  <si>
    <t>96</t>
  </si>
  <si>
    <t>712341716</t>
  </si>
  <si>
    <t>Provedení povlakové krytiny střech do 10° pásy NAIP přitavením zaizolování prostupů kruhového průřezu D přes 300 do 500 mm</t>
  </si>
  <si>
    <t>-540465904</t>
  </si>
  <si>
    <t>Provedení povlakové krytiny střech plochých do 10° pásy přitavením NAIP ostatní činnosti při pokládání pásů (materiál ve specifikaci) zaizolování prostupů střešní rovinou kruhový průřez, průměr přes 300 mm do 500 mm</t>
  </si>
  <si>
    <t>https://podminky.urs.cz/item/CS_URS_2022_02/712341716</t>
  </si>
  <si>
    <t>97</t>
  </si>
  <si>
    <t>712363604</t>
  </si>
  <si>
    <t>Provedení povlak krytiny mechanicky kotvenou do betonu TI tl přes 240 mm vnitřní pole, budova v do 18 m</t>
  </si>
  <si>
    <t>1787455989</t>
  </si>
  <si>
    <t>Provedení povlakové krytiny střech plochých do 10° s mechanicky kotvenou izolací včetně položení fólie a horkovzdušného svaření tl. tepelné izolace přes 240 mm budovy výšky do 18 m, kotvené do betonu vnitřní pole</t>
  </si>
  <si>
    <t>https://podminky.urs.cz/item/CS_URS_2022_02/712363604</t>
  </si>
  <si>
    <t xml:space="preserve">Poznámka k souboru cen:
1. V cenách jsou započteny i náklady na dodávku kotev.
2. V cenách nejsou započteny náklady na dodávku fólie; tato se oceňuje ve specifikaci.
3. V cenách -3671 až -3674 nejsou započteny náklady na dodávku lišt; tyto se oceňují ve specifikaci.
4. Kotvení plechových lišt rš větší než 200 mm se oceňují katalogem 800-764 Klempířské konstrukce.
5. Vymezení rohových a okrajových částí je dané kotevním plánem nebo výpočtem podle přílohy č. 3 tohoto katalogu.
</t>
  </si>
  <si>
    <t>-56,745</t>
  </si>
  <si>
    <t>-27,528</t>
  </si>
  <si>
    <t>98</t>
  </si>
  <si>
    <t>712363605</t>
  </si>
  <si>
    <t>Provedení povlak krytiny mechanicky kotvenou do betonu TI tl přes 240 mm krajní pole, budova v do 18 m</t>
  </si>
  <si>
    <t>69772066</t>
  </si>
  <si>
    <t>Provedení povlakové krytiny střech plochých do 10° s mechanicky kotvenou izolací včetně položení fólie a horkovzdušného svaření tl. tepelné izolace přes 240 mm budovy výšky do 18 m, kotvené do betonu krajní pole</t>
  </si>
  <si>
    <t>https://podminky.urs.cz/item/CS_URS_2022_02/712363605</t>
  </si>
  <si>
    <t>1,52*14,72</t>
  </si>
  <si>
    <t>1,42*14,72</t>
  </si>
  <si>
    <t>0,92*7,32*2</t>
  </si>
  <si>
    <t>99</t>
  </si>
  <si>
    <t>712363606</t>
  </si>
  <si>
    <t>Provedení povlak krytiny mechanicky kotvenou do betonu TI tl přes 240 mm rohové pole, budova v do 18 m</t>
  </si>
  <si>
    <t>-762318647</t>
  </si>
  <si>
    <t>Provedení povlakové krytiny střech plochých do 10° s mechanicky kotvenou izolací včetně položení fólie a horkovzdušného svaření tl. tepelné izolace přes 240 mm budovy výšky do 18 m, kotvené do betonu rohové pole</t>
  </si>
  <si>
    <t>https://podminky.urs.cz/item/CS_URS_2022_02/712363606</t>
  </si>
  <si>
    <t>3,68*1,52+0,92*1,6</t>
  </si>
  <si>
    <t>0,92*1,6+1,42*3,68</t>
  </si>
  <si>
    <t>100</t>
  </si>
  <si>
    <t>1465516567</t>
  </si>
  <si>
    <t>101</t>
  </si>
  <si>
    <t>-1819845199</t>
  </si>
  <si>
    <t>102</t>
  </si>
  <si>
    <t>713141131</t>
  </si>
  <si>
    <t>Montáž izolace tepelné střech plochých lepené za studena plně 1 vrstva rohoží, pásů, dílců, desek</t>
  </si>
  <si>
    <t>713029214</t>
  </si>
  <si>
    <t>Montáž tepelné izolace střech plochých rohožemi, pásy, deskami, dílci, bloky (izolační materiál ve specifikaci) přilepenými za studena zplna, jednovrstvá</t>
  </si>
  <si>
    <t>https://podminky.urs.cz/item/CS_URS_2022_02/713141131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</si>
  <si>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</si>
  <si>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103</t>
  </si>
  <si>
    <t>28375013</t>
  </si>
  <si>
    <t>deska EPS 70 pro konstrukce s malým zatížením λ=0,039 tl 140mm</t>
  </si>
  <si>
    <t>-1308887069</t>
  </si>
  <si>
    <t>deska EPS 70 se zvýšenou pevností λ=0,039 tl 140mm</t>
  </si>
  <si>
    <t>332,508*1,1 'Přepočtené koeficientem množství</t>
  </si>
  <si>
    <t>104</t>
  </si>
  <si>
    <t>-2055861106</t>
  </si>
  <si>
    <t>105</t>
  </si>
  <si>
    <t>28376141</t>
  </si>
  <si>
    <t>klín izolační EPS 100 spád do 5%</t>
  </si>
  <si>
    <t>844488449</t>
  </si>
  <si>
    <t>klín izolační z pěnového polystyrenu EPS 100 spádový</t>
  </si>
  <si>
    <t>332,508*0,1</t>
  </si>
  <si>
    <t>332,508*0,18*2/3</t>
  </si>
  <si>
    <t>73,152*1,2 'Přepočtené koeficientem množství</t>
  </si>
  <si>
    <t>106</t>
  </si>
  <si>
    <t>713141263</t>
  </si>
  <si>
    <t>Přikotvení tepelné izolace šrouby do betonu pro izolaci tl přes 240 mm</t>
  </si>
  <si>
    <t>-1594057836</t>
  </si>
  <si>
    <t>Montáž tepelné izolace střech plochých mechanické přikotvení šrouby včetně dodávky šroubů, bez položení tepelné izolace tl. izolace přes 240 mm do betonu</t>
  </si>
  <si>
    <t>https://podminky.urs.cz/item/CS_URS_2022_02/713141263</t>
  </si>
  <si>
    <t>107</t>
  </si>
  <si>
    <t>713141391</t>
  </si>
  <si>
    <t>Montáž izolace tepelné stěn v do 1000 mm na atiky a prostupy střechou lepené za studena zplna</t>
  </si>
  <si>
    <t>-1490418520</t>
  </si>
  <si>
    <t>Montáž tepelné izolace střech plochých na konstrukce stěn převyšující úroveň střechy např. atiky, prostupy střešní krytinou do výšky 1 000 mm přilepenými za studena zplna</t>
  </si>
  <si>
    <t>https://podminky.urs.cz/item/CS_URS_2022_02/713141391</t>
  </si>
  <si>
    <t>108</t>
  </si>
  <si>
    <t>1481990721</t>
  </si>
  <si>
    <t>0,7*(24,2*2+13,74*2)</t>
  </si>
  <si>
    <t>53,116*1,1 'Přepočtené koeficientem množství</t>
  </si>
  <si>
    <t>109</t>
  </si>
  <si>
    <t>28375873</t>
  </si>
  <si>
    <t>deska EPS 70 pro konstrukce s malým zatížením λ=0,039 tl 100mm</t>
  </si>
  <si>
    <t>-181680524</t>
  </si>
  <si>
    <t>deska EPS 70 se zvýšenou pevností λ=0,039 tl 100mm</t>
  </si>
  <si>
    <t>0,34*(24,6*2+14,2*2)</t>
  </si>
  <si>
    <t>26,384*1,1 'Přepočtené koeficientem množství</t>
  </si>
  <si>
    <t>110</t>
  </si>
  <si>
    <t>971461922</t>
  </si>
  <si>
    <t>111</t>
  </si>
  <si>
    <t>1886200693</t>
  </si>
  <si>
    <t>112</t>
  </si>
  <si>
    <t>721233213</t>
  </si>
  <si>
    <t>Střešní vtok polypropylen PP pro pochůzné střechy svislý odtok DN 125</t>
  </si>
  <si>
    <t>1718212594</t>
  </si>
  <si>
    <t>Střešní vtoky (vpusti) polypropylenové (PP) pro pochůzné střechy s odtokem svislým DN 125</t>
  </si>
  <si>
    <t>https://podminky.urs.cz/item/CS_URS_2022_02/721233213</t>
  </si>
  <si>
    <t>113</t>
  </si>
  <si>
    <t>998721102</t>
  </si>
  <si>
    <t>Přesun hmot tonážní pro vnitřní kanalizace v objektech v přes 6 do 12 m</t>
  </si>
  <si>
    <t>657275386</t>
  </si>
  <si>
    <t>Přesun hmot pro vnitřní kanalizace stanovený z hmotnosti přesunovaného materiálu vodorovná dopravní vzdálenost do 50 m v objektech výšky přes 6 do 12 m</t>
  </si>
  <si>
    <t>https://podminky.urs.cz/item/CS_URS_2022_02/998721102</t>
  </si>
  <si>
    <t>114</t>
  </si>
  <si>
    <t>998721181</t>
  </si>
  <si>
    <t>Příplatek k přesunu hmot tonážní 721 prováděný bez použití mechanizace</t>
  </si>
  <si>
    <t>-108704659</t>
  </si>
  <si>
    <t>Přesun hmot pro vnitřní kanalizace stanovený z hmotnosti přesunovaného materiálu Příplatek k ceně za přesun prováděný bez použití mechanizace pro jakoukoliv výšku objektu</t>
  </si>
  <si>
    <t>https://podminky.urs.cz/item/CS_URS_2022_02/998721181</t>
  </si>
  <si>
    <t>115</t>
  </si>
  <si>
    <t>762361312</t>
  </si>
  <si>
    <t>Konstrukční a vyrovnávací vrstva pod klempířské prvky (atiky) z desek dřevoštěpkových tl 22 mm</t>
  </si>
  <si>
    <t>-1445447891</t>
  </si>
  <si>
    <t>Konstrukční vrstva pod klempířské prvky pro oplechování horních ploch zdí a nadezdívek (atik) z desek dřevoštěpkových šroubovaných do podkladu, tloušťky desky 22 mm</t>
  </si>
  <si>
    <t>https://podminky.urs.cz/item/CS_URS_2022_02/762361312</t>
  </si>
  <si>
    <t xml:space="preserve">Poznámka k souboru cen:
1. V cenách -1312 až -1313 jsou započteny i náklady na kotvení desky do podkladu.
</t>
  </si>
  <si>
    <t>(24,6*2+14,2*2)*0,625</t>
  </si>
  <si>
    <t>116</t>
  </si>
  <si>
    <t>209110730</t>
  </si>
  <si>
    <t>117</t>
  </si>
  <si>
    <t>336243765</t>
  </si>
  <si>
    <t>118</t>
  </si>
  <si>
    <t>764011446R</t>
  </si>
  <si>
    <t>Podkladní plech z PZ plechu pro hřebeny, nároží, úžlabí nebo okapové hrany tl. 0,8 mm rš 470 mm</t>
  </si>
  <si>
    <t>595294940</t>
  </si>
  <si>
    <t>Podkladní plech z pozinkovaného plechu tloušťky 1,0 mm pro TiZn rš 500 mm</t>
  </si>
  <si>
    <t xml:space="preserve">Poznámka k souboru cen:
1. Rozvinutá šířka podkladního plechu se určuje z rš střešního prvku.
2. Tloušťka pokladního plechu 1,0 mm se používá pro střešní prvky z titanzinkového plechu.
</t>
  </si>
  <si>
    <t>připojovací plech tl. 0,8mm rš 470mm dl 250 mm á 2,0m</t>
  </si>
  <si>
    <t>(24,6*2+14,2*2)/2*0,25</t>
  </si>
  <si>
    <t>119</t>
  </si>
  <si>
    <t>764212637</t>
  </si>
  <si>
    <t>Oplechování štítu závětrnou lištou z Pz s povrchovou úpravou rš 670 mm</t>
  </si>
  <si>
    <t>582168546</t>
  </si>
  <si>
    <t>Oplechování střešních prvků z pozinkovaného plechu s povrchovou úpravou štítu závětrnou lištou rš 670 mm</t>
  </si>
  <si>
    <t>https://podminky.urs.cz/item/CS_URS_2022_02/764212637</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</si>
  <si>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</si>
  <si>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oplechování atiky</t>
  </si>
  <si>
    <t>(24,6*2+14,2*2)</t>
  </si>
  <si>
    <t>120</t>
  </si>
  <si>
    <t>764226444</t>
  </si>
  <si>
    <t>Oplechování parapetů rovných celoplošně lepené z Al plechu rš 330 mm</t>
  </si>
  <si>
    <t>-1079842419</t>
  </si>
  <si>
    <t>Oplechování parapetů z hliníkového plechu rovných celoplošně lepené, bez rohů rš 330 mm</t>
  </si>
  <si>
    <t>https://podminky.urs.cz/item/CS_URS_2022_02/764226444</t>
  </si>
  <si>
    <t>121</t>
  </si>
  <si>
    <t>764226465</t>
  </si>
  <si>
    <t>Příplatek za zvýšenou pracnost oplechování rohů parapetů rovných z Al plechu rš do 400 mm</t>
  </si>
  <si>
    <t>-1312302952</t>
  </si>
  <si>
    <t>Oplechování parapetů z hliníkového plechu rovných celoplošně lepené, bez rohů Příplatek k cenám za zvýšenou pracnost při provedení rohu nebo koutu do rš 400 mm</t>
  </si>
  <si>
    <t>https://podminky.urs.cz/item/CS_URS_2022_02/764226465</t>
  </si>
  <si>
    <t>2*(8+8)</t>
  </si>
  <si>
    <t>2*(6+3+3)</t>
  </si>
  <si>
    <t>122</t>
  </si>
  <si>
    <t>764311606</t>
  </si>
  <si>
    <t>Lemování rovných zdí střech s krytinou prejzovou nebo vlnitou z Pz s povrchovou úpravou rš 500 mm</t>
  </si>
  <si>
    <t>1639317854</t>
  </si>
  <si>
    <t>Lemování zdí z pozinkovaného plechu s povrchovou úpravou boční nebo horní rovné, střech s krytinou prejzovou nebo vlnitou rš 500 mm</t>
  </si>
  <si>
    <t>https://podminky.urs.cz/item/CS_URS_2022_02/764311606</t>
  </si>
  <si>
    <t>oplechování pod atikou</t>
  </si>
  <si>
    <t>25,0+8,9</t>
  </si>
  <si>
    <t>123</t>
  </si>
  <si>
    <t>998764102</t>
  </si>
  <si>
    <t>Přesun hmot tonážní pro konstrukce klempířské v objektech v přes 6 do 12 m</t>
  </si>
  <si>
    <t>-337610797</t>
  </si>
  <si>
    <t>Přesun hmot pro konstrukce klempířské stanovený z hmotnosti přesunovaného materiálu vodorovná dopravní vzdálenost do 50 m v objektech výšky přes 6 do 12 m</t>
  </si>
  <si>
    <t>https://podminky.urs.cz/item/CS_URS_2022_02/998764102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</si>
  <si>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</si>
  <si>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124</t>
  </si>
  <si>
    <t>998764181</t>
  </si>
  <si>
    <t>Příplatek k přesunu hmot tonážní 764 prováděný bez použití mechanizace</t>
  </si>
  <si>
    <t>-1757017815</t>
  </si>
  <si>
    <t>Přesun hmot pro konstrukce klempířské stanovený z hmotnosti přesunovaného materiálu Příplatek k cenám za přesun prováděný bez použití mechanizace pro jakoukoliv výšku objektu</t>
  </si>
  <si>
    <t>https://podminky.urs.cz/item/CS_URS_2022_02/998764181</t>
  </si>
  <si>
    <t>125</t>
  </si>
  <si>
    <t>767210151</t>
  </si>
  <si>
    <t>Montáž schodišťových stupňů ocelových rovných nebo vřetenových šroubováním</t>
  </si>
  <si>
    <t>1210319189</t>
  </si>
  <si>
    <t>Montáž schodišťových stupňů z oceli rovných nebo vřetenových šroubováním</t>
  </si>
  <si>
    <t>https://podminky.urs.cz/item/CS_URS_2022_02/767210151</t>
  </si>
  <si>
    <t>126</t>
  </si>
  <si>
    <t>55347094</t>
  </si>
  <si>
    <t>stupeň schodišťový lisovaný žárově zinkovaný velikost 30/3mm 1000x305mm</t>
  </si>
  <si>
    <t>-1117187298</t>
  </si>
  <si>
    <t>127</t>
  </si>
  <si>
    <t>767211311</t>
  </si>
  <si>
    <t>Montáž venkovního kovového schodiště rovného kotveného do zdiva</t>
  </si>
  <si>
    <t>-1642292721</t>
  </si>
  <si>
    <t>Montáž kovového venkovního schodiště bez zábradlí a podesty, pro šířku stupně do 1 200 mm rovného, kotveného do zdiva nebo lehčeného betonu</t>
  </si>
  <si>
    <t>https://podminky.urs.cz/item/CS_URS_2022_02/767211311</t>
  </si>
  <si>
    <t xml:space="preserve">Poznámka k souboru cen:
1. V cenách nejsou započteny náklady na montáž zábradlí; tyto práce se oceňují cenami souboru cen 767 22 - Montáž zábradlí nebo 767 16 Montáž kompletního kovového zábradlí.
2. Množství měrných jednotek se určuje v délce výstupní čáry.
</t>
  </si>
  <si>
    <t>venkovní schodiště</t>
  </si>
  <si>
    <t>2,454</t>
  </si>
  <si>
    <t>128</t>
  </si>
  <si>
    <t>14550327R</t>
  </si>
  <si>
    <t>profil ocelový obdélníkový svařovaný 120x40x4mm žár.zink</t>
  </si>
  <si>
    <t>-1060214711</t>
  </si>
  <si>
    <t>profil ocelový obdélníkový svařovaný 120x40x4mm</t>
  </si>
  <si>
    <t>2,454*2*8,95/1000</t>
  </si>
  <si>
    <t>129</t>
  </si>
  <si>
    <t>X13</t>
  </si>
  <si>
    <t>pomocný a spojovací materiál, kotvení</t>
  </si>
  <si>
    <t>1325036295</t>
  </si>
  <si>
    <t>130</t>
  </si>
  <si>
    <t>767220420</t>
  </si>
  <si>
    <t>Montáž zábradlí schodišťového z profilové oceli do zdi hm přes 20 do 40 kg</t>
  </si>
  <si>
    <t>-1909312190</t>
  </si>
  <si>
    <t>Montáž schodišťového zábradlí z profilové oceli do zdiva, hmotnosti 1 m zábradlí přes 20 do 40 kg</t>
  </si>
  <si>
    <t>https://podminky.urs.cz/item/CS_URS_2022_02/767220420</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</si>
  <si>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</si>
  <si>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2,236*2</t>
  </si>
  <si>
    <t>4,472*1,1 'Přepočtené koeficientem množství</t>
  </si>
  <si>
    <t>131</t>
  </si>
  <si>
    <t>Z3</t>
  </si>
  <si>
    <t>zábradlí schodiště - výroba a dodávka, žár.zibk.</t>
  </si>
  <si>
    <t>-1639038702</t>
  </si>
  <si>
    <t>JAKL 50/30/4</t>
  </si>
  <si>
    <t>(2,236*2+0,15*2)*4,323</t>
  </si>
  <si>
    <t>JAKL 40/40/4</t>
  </si>
  <si>
    <t>1,116*2*2*4,323</t>
  </si>
  <si>
    <t>pásovina 50/3</t>
  </si>
  <si>
    <t>(1,755*2*2)*1,18</t>
  </si>
  <si>
    <t>kulatina pr. 12</t>
  </si>
  <si>
    <t>0,73*(12*2)*0,888</t>
  </si>
  <si>
    <t>10% ztratné</t>
  </si>
  <si>
    <t>6,4</t>
  </si>
  <si>
    <t>132</t>
  </si>
  <si>
    <t>767316311</t>
  </si>
  <si>
    <t>Montáž střešního bodového světlíku přes 1 do 1,5 m2</t>
  </si>
  <si>
    <t>-430277974</t>
  </si>
  <si>
    <t>Montáž světlíků bodových přes 1 do 1,5 m2</t>
  </si>
  <si>
    <t>https://podminky.urs.cz/item/CS_URS_2022_02/767316311</t>
  </si>
  <si>
    <t xml:space="preserve">Poznámka k souboru cen:
1. V cenách -3110 až -3152 je započtena i montáž krytiny.
2. V ceně -2737 je započteno i dokončení okování větracích křídel.
</t>
  </si>
  <si>
    <t>133</t>
  </si>
  <si>
    <t>56245R</t>
  </si>
  <si>
    <t>světlík bodový 1,05x1,0 m</t>
  </si>
  <si>
    <t>-384385774</t>
  </si>
  <si>
    <t>světlík bodový třívrstvá kopule, manžeta v 150mm 1,2x1,2m</t>
  </si>
  <si>
    <t>Světlík zajišťuje výfuk vzduchu z CHÚC při požáru</t>
  </si>
  <si>
    <t>min.rozměr otvíravé plochy je 80 x 80 cm</t>
  </si>
  <si>
    <t>Výklopné otvírání světlíku bude automatické</t>
  </si>
  <si>
    <t>Uw &lt;= 0,88 W/m2K, tj. &lt;=0,80 x Urec</t>
  </si>
  <si>
    <t>134</t>
  </si>
  <si>
    <t>-1799855471</t>
  </si>
  <si>
    <t>135</t>
  </si>
  <si>
    <t>-618833315</t>
  </si>
  <si>
    <t>771</t>
  </si>
  <si>
    <t>Podlahy z dlaždic</t>
  </si>
  <si>
    <t>136</t>
  </si>
  <si>
    <t>771111011</t>
  </si>
  <si>
    <t>Vysátí podkladu před pokládkou dlažby</t>
  </si>
  <si>
    <t>-1339718781</t>
  </si>
  <si>
    <t>Příprava podkladu před provedením dlažby vysátí podlah</t>
  </si>
  <si>
    <t>https://podminky.urs.cz/item/CS_URS_2022_02/771111011</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</si>
  <si>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</si>
  <si>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137</t>
  </si>
  <si>
    <t>771121011</t>
  </si>
  <si>
    <t>Nátěr penetrační na podlahu</t>
  </si>
  <si>
    <t>-711422257</t>
  </si>
  <si>
    <t>Příprava podkladu před provedením dlažby nátěr penetrační na podlahu</t>
  </si>
  <si>
    <t>https://podminky.urs.cz/item/CS_URS_2022_02/771121011</t>
  </si>
  <si>
    <t>22,4*0,45</t>
  </si>
  <si>
    <t>138</t>
  </si>
  <si>
    <t>771161023</t>
  </si>
  <si>
    <t>Montáž profilu ukončujícího pro balkony a terasy</t>
  </si>
  <si>
    <t>1939377757</t>
  </si>
  <si>
    <t>Příprava podkladu před provedením dlažby montáž profilu ukončujícího profilu pro balkony a terasy</t>
  </si>
  <si>
    <t>https://podminky.urs.cz/item/CS_URS_2022_02/771161023</t>
  </si>
  <si>
    <t>2,11+2,4</t>
  </si>
  <si>
    <t>139</t>
  </si>
  <si>
    <t>59054300</t>
  </si>
  <si>
    <t>profil ukončovací s okapničkou děrovaná hrana s drenáží barevný lak Al dl 2,5m v 23mm</t>
  </si>
  <si>
    <t>1329760975</t>
  </si>
  <si>
    <t>4,51*1,1 'Přepočtené koeficientem množství</t>
  </si>
  <si>
    <t>140</t>
  </si>
  <si>
    <t>771274123</t>
  </si>
  <si>
    <t>Montáž obkladů stupnic z dlaždic protiskluzných keramických flexibilní lepidlo š přes 250 do 300 mm</t>
  </si>
  <si>
    <t>14445329</t>
  </si>
  <si>
    <t>Montáž obkladů schodišť z dlaždic keramických lepených flexibilním lepidlem stupnic protiskluzných nebo reliéfních, šířky přes 250 do 300 mm</t>
  </si>
  <si>
    <t>https://podminky.urs.cz/item/CS_URS_2022_02/771274123</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</si>
  <si>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</si>
  <si>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2,8*8</t>
  </si>
  <si>
    <t>141</t>
  </si>
  <si>
    <t>771274241</t>
  </si>
  <si>
    <t>Montáž obkladů podstupnic z dlaždic reliéfních keramických flexibilní lepidlo v do 150 mm</t>
  </si>
  <si>
    <t>1054349742</t>
  </si>
  <si>
    <t>Montáž obkladů schodišť z dlaždic keramických lepených flexibilním lepidlem podstupnic protiskluzních nebo reliéfních, výšky do 150 mm</t>
  </si>
  <si>
    <t>https://podminky.urs.cz/item/CS_URS_2022_02/771274241</t>
  </si>
  <si>
    <t>142</t>
  </si>
  <si>
    <t>771474113</t>
  </si>
  <si>
    <t>Montáž soklů z dlaždic keramických rovných flexibilní lepidlo v přes 90 do 120 mm</t>
  </si>
  <si>
    <t>550969649</t>
  </si>
  <si>
    <t>Montáž soklů z dlaždic keramických lepených flexibilním lepidlem rovných, výšky přes 90 do 120 mm</t>
  </si>
  <si>
    <t>https://podminky.urs.cz/item/CS_URS_2022_02/771474113</t>
  </si>
  <si>
    <t>143</t>
  </si>
  <si>
    <t>59761275</t>
  </si>
  <si>
    <t>sokl-dlažba keramická slinutá hladká do interiéru i exteriéru 330x80mm</t>
  </si>
  <si>
    <t>1521952084</t>
  </si>
  <si>
    <t>10/0,33</t>
  </si>
  <si>
    <t>30,303*1,1 'Přepočtené koeficientem množství</t>
  </si>
  <si>
    <t>144</t>
  </si>
  <si>
    <t>771574266</t>
  </si>
  <si>
    <t>Montáž podlah keramických pro mechanické zatížení protiskluzných lepených flexibilním lepidlem přes 22 do 25 ks/m2</t>
  </si>
  <si>
    <t>-412152598</t>
  </si>
  <si>
    <t>Montáž podlah z dlaždic keramických lepených flexibilním lepidlem maloformátových pro vysoké mechanické zatížení protiskluzných nebo reliéfních (bezbariérových) přes 22 do 25 ks/m2</t>
  </si>
  <si>
    <t>https://podminky.urs.cz/item/CS_URS_2022_02/771574266</t>
  </si>
  <si>
    <t xml:space="preserve">Poznámka k souboru cen:
1. Položky jsou učeny pro všechy druhy povrchových úprav.
</t>
  </si>
  <si>
    <t>145</t>
  </si>
  <si>
    <t>59761406R</t>
  </si>
  <si>
    <t>dlažba keramická slinutá protiskluzná do interiéru i exteriéru pro vysoké mechanické namáhání přes 22 do 25ks/m2 - dle výběru investora</t>
  </si>
  <si>
    <t>-1141953217</t>
  </si>
  <si>
    <t>22,4*0,3</t>
  </si>
  <si>
    <t>21,82*1,2 'Přepočtené koeficientem množství</t>
  </si>
  <si>
    <t>146</t>
  </si>
  <si>
    <t>771577114</t>
  </si>
  <si>
    <t>Příplatek k montáži podlah keramických lepených flexibilním lepidlem za spárování tmelem dvousložkovým</t>
  </si>
  <si>
    <t>-1626744580</t>
  </si>
  <si>
    <t>Montáž podlah z dlaždic keramických lepených flexibilním lepidlem Příplatek k cenám za dvousložkový spárovací tmel</t>
  </si>
  <si>
    <t>https://podminky.urs.cz/item/CS_URS_2022_02/771577114</t>
  </si>
  <si>
    <t>147</t>
  </si>
  <si>
    <t>771591241</t>
  </si>
  <si>
    <t>Izolace těsnícími pásy vnitřní kout</t>
  </si>
  <si>
    <t>1394437405</t>
  </si>
  <si>
    <t>Izolace podlahy pod dlažbu těsnícími izolačními pásy vnitřní kout</t>
  </si>
  <si>
    <t>https://podminky.urs.cz/item/CS_URS_2022_02/771591241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</si>
  <si>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</si>
  <si>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148</t>
  </si>
  <si>
    <t>771591242</t>
  </si>
  <si>
    <t>Izolace těsnícími pásy vnější roh</t>
  </si>
  <si>
    <t>796161314</t>
  </si>
  <si>
    <t>Izolace podlahy pod dlažbu těsnícími izolačními pásy vnější roh</t>
  </si>
  <si>
    <t>https://podminky.urs.cz/item/CS_URS_2022_02/771591242</t>
  </si>
  <si>
    <t>149</t>
  </si>
  <si>
    <t>771591264</t>
  </si>
  <si>
    <t>Izolace těsnícími pásy mezi podlahou a stěnou</t>
  </si>
  <si>
    <t>1454967816</t>
  </si>
  <si>
    <t>Izolace podlahy pod dlažbu těsnícími izolačními pásy mezi podlahou a stěnu</t>
  </si>
  <si>
    <t>https://podminky.urs.cz/item/CS_URS_2022_02/771591264</t>
  </si>
  <si>
    <t>150</t>
  </si>
  <si>
    <t>998771102</t>
  </si>
  <si>
    <t>Přesun hmot tonážní pro podlahy z dlaždic v objektech v přes 6 do 12 m</t>
  </si>
  <si>
    <t>1358290618</t>
  </si>
  <si>
    <t>Přesun hmot pro podlahy z dlaždic stanovený z hmotnosti přesunovaného materiálu vodorovná dopravní vzdálenost do 50 m v objektech výšky přes 6 do 12 m</t>
  </si>
  <si>
    <t>https://podminky.urs.cz/item/CS_URS_2022_02/998771102</t>
  </si>
  <si>
    <t>151</t>
  </si>
  <si>
    <t>998771181</t>
  </si>
  <si>
    <t>Příplatek k přesunu hmot tonážní 771 prováděný bez použití mechanizace</t>
  </si>
  <si>
    <t>1565048085</t>
  </si>
  <si>
    <t>Přesun hmot pro podlahy z dlaždic stanovený z hmotnosti přesunovaného materiálu Příplatek k ceně za přesun prováděný bez použití mechanizace pro jakoukoliv výšku objektu</t>
  </si>
  <si>
    <t>https://podminky.urs.cz/item/CS_URS_2022_02/998771181</t>
  </si>
  <si>
    <t>152</t>
  </si>
  <si>
    <t>-125830294</t>
  </si>
  <si>
    <t>E14 - Dokončovací práce - výtah,zábradlí.obklady,parapety,malby,žaluzie,podlahy,dveře,dok.TZB</t>
  </si>
  <si>
    <t xml:space="preserve">    714 - Akustická a protiotřesová opatření</t>
  </si>
  <si>
    <t xml:space="preserve">    763 - Konstrukce suché výstavby</t>
  </si>
  <si>
    <t xml:space="preserve">    776 - Podlahy povlakové</t>
  </si>
  <si>
    <t xml:space="preserve">    781 - Dokončovací práce - obklady</t>
  </si>
  <si>
    <t xml:space="preserve">    784 - Dokončovací práce - malby a tapety</t>
  </si>
  <si>
    <t xml:space="preserve">    786 - Dokončovací práce - čalounické úpravy</t>
  </si>
  <si>
    <t>M - Práce a dodávky M</t>
  </si>
  <si>
    <t xml:space="preserve">    33-M - Montáže dopr.zaříz.,sklad. zař. a váh</t>
  </si>
  <si>
    <t>611131101</t>
  </si>
  <si>
    <t>Cementový postřik vnitřních stropů nanášený celoplošně ručně</t>
  </si>
  <si>
    <t>1728302469</t>
  </si>
  <si>
    <t>Podkladní a spojovací vrstva vnitřních omítaných ploch cementový postřik nanášený ručně celoplošně stropů</t>
  </si>
  <si>
    <t>https://podminky.urs.cz/item/CS_URS_2022_02/611131101</t>
  </si>
  <si>
    <t>611142001</t>
  </si>
  <si>
    <t>Potažení vnitřních stropů sklovláknitým pletivem vtlačeným do tenkovrstvé hmoty</t>
  </si>
  <si>
    <t>101762681</t>
  </si>
  <si>
    <t>Potažení vnitřních ploch pletivem v ploše nebo pruzích, na plném podkladu sklovláknitým vtlačením do tmelu stropů</t>
  </si>
  <si>
    <t>https://podminky.urs.cz/item/CS_URS_2022_02/611142001</t>
  </si>
  <si>
    <t>611321141</t>
  </si>
  <si>
    <t>Vápenocementová omítka štuková dvouvrstvá vnitřních stropů rovných nanášená ručně</t>
  </si>
  <si>
    <t>-1545615611</t>
  </si>
  <si>
    <t>Omítka vápenocementová vnitřních ploch nanášená ručně dvouvrstvá, tloušťky jádrové omítky do 10 mm a tloušťky štuku do 3 mm štuková vodorovných konstrukcí stropů rovných</t>
  </si>
  <si>
    <t>https://podminky.urs.cz/item/CS_URS_2022_02/611321141</t>
  </si>
  <si>
    <t>11,8+4,3</t>
  </si>
  <si>
    <t>611321191</t>
  </si>
  <si>
    <t>Příplatek k vápenocementové omítce vnitřních stropů za každých dalších 5 mm tloušťky ručně</t>
  </si>
  <si>
    <t>-138397866</t>
  </si>
  <si>
    <t>Omítka vápenocementová vnitřních ploch nanášená ručně Příplatek k cenám za každých dalších i započatých 5 mm tloušťky omítky přes 10 mm stropů</t>
  </si>
  <si>
    <t>https://podminky.urs.cz/item/CS_URS_2022_02/611321191</t>
  </si>
  <si>
    <t>16,100*2</t>
  </si>
  <si>
    <t>X102</t>
  </si>
  <si>
    <t>pryžové ochranné pásy proti okopání výšky 150, šířky 9 a tl. 1 cm - vnější rohy sloupů a stěn</t>
  </si>
  <si>
    <t>692326053</t>
  </si>
  <si>
    <t>1+2*3+1</t>
  </si>
  <si>
    <t>1+4+4+2</t>
  </si>
  <si>
    <t>4+2*2</t>
  </si>
  <si>
    <t>4+8</t>
  </si>
  <si>
    <t>4+4+2</t>
  </si>
  <si>
    <t>2+2+1</t>
  </si>
  <si>
    <t>2*3+1+4*2</t>
  </si>
  <si>
    <t>11+1</t>
  </si>
  <si>
    <t>4+2*4</t>
  </si>
  <si>
    <t>2*4+2</t>
  </si>
  <si>
    <t>4+2</t>
  </si>
  <si>
    <t>288376438</t>
  </si>
  <si>
    <t>-1021658970</t>
  </si>
  <si>
    <t>953943211</t>
  </si>
  <si>
    <t>Osazování hasicího přístroje</t>
  </si>
  <si>
    <t>-1038632296</t>
  </si>
  <si>
    <t>Osazování drobných kovových předmětů kotvených do stěny hasicího přístroje</t>
  </si>
  <si>
    <t>https://podminky.urs.cz/item/CS_URS_2022_02/953943211</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</si>
  <si>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</si>
  <si>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44932114</t>
  </si>
  <si>
    <t>přístroj hasicí ruční práškový PG 6 LE</t>
  </si>
  <si>
    <t>-410139284</t>
  </si>
  <si>
    <t>953943212</t>
  </si>
  <si>
    <t>Osazování skříně pro hasicí přístroj</t>
  </si>
  <si>
    <t>-672458388</t>
  </si>
  <si>
    <t>Osazování drobných kovových předmětů kotvených do stěny skříně pro hasicí přístroj</t>
  </si>
  <si>
    <t>https://podminky.urs.cz/item/CS_URS_2022_02/953943212</t>
  </si>
  <si>
    <t>44983131</t>
  </si>
  <si>
    <t>skříňka na RHP</t>
  </si>
  <si>
    <t>1357910017</t>
  </si>
  <si>
    <t>PBŘ</t>
  </si>
  <si>
    <t>tabulky -označené dle PBŘ</t>
  </si>
  <si>
    <t>1838889496</t>
  </si>
  <si>
    <t>675933518</t>
  </si>
  <si>
    <t>714</t>
  </si>
  <si>
    <t>Akustická a protiotřesová opatření</t>
  </si>
  <si>
    <t>714121013</t>
  </si>
  <si>
    <t>Montáž podstropních panelů s rozšířenou zvukovou pohltivostí zavěšených na skrytý rošt</t>
  </si>
  <si>
    <t>-1484057123</t>
  </si>
  <si>
    <t>Montáž akustických minerálních panelů podstropních s rozšířenou pohltivostí zvuku zavěšených na rošt skrytý</t>
  </si>
  <si>
    <t>https://podminky.urs.cz/item/CS_URS_2022_02/714121013</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</si>
  <si>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</si>
  <si>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23,6+21,6+171</t>
  </si>
  <si>
    <t>56,5+90,9+79,6+47,9</t>
  </si>
  <si>
    <t>59036378</t>
  </si>
  <si>
    <t>panel akustický pro otevřené kanceláře skrytý rošt tl 40mm</t>
  </si>
  <si>
    <t>29283657</t>
  </si>
  <si>
    <t>491,1*1,1 'Přepočtené koeficientem množství</t>
  </si>
  <si>
    <t>998714102</t>
  </si>
  <si>
    <t>Přesun hmot tonážní pro akustická a protiotřesová opatření v objektech v do 12 m</t>
  </si>
  <si>
    <t>711777535</t>
  </si>
  <si>
    <t>Přesun hmot pro akustická a protiotřesová opatření stanovený z hmotnosti přesunovaného materiálu vodorovná dopravní vzdálenost do 50 m v objektech výšky přes 6 do 12 m</t>
  </si>
  <si>
    <t>https://podminky.urs.cz/item/CS_URS_2022_02/998714102</t>
  </si>
  <si>
    <t>998714181</t>
  </si>
  <si>
    <t>Příplatek k přesunu hmot tonážní 714 prováděný bez použití mechanizace</t>
  </si>
  <si>
    <t>-1665487902</t>
  </si>
  <si>
    <t>Přesun hmot pro akustická a protiotřesová opatření stanovený z hmotnosti přesunovaného materiálu Příplatek k cenám za přesun prováděný bez použití mechanizace pro jakoukoliv výšku objektu</t>
  </si>
  <si>
    <t>https://podminky.urs.cz/item/CS_URS_2022_02/998714181</t>
  </si>
  <si>
    <t>763</t>
  </si>
  <si>
    <t>Konstrukce suché výstavby</t>
  </si>
  <si>
    <t>763121551</t>
  </si>
  <si>
    <t>SDK stěna předsazená tl 75 mm profil CD+UD desky 2xDF 12,5 s izolací EI 45</t>
  </si>
  <si>
    <t>-1335037298</t>
  </si>
  <si>
    <t>Stěna předsazená ze sádrokartonových desek s nosnou konstrukcí z ocelových profilů CD a UD, s kotvením CD po 1 500 mm dvojitě opláštěná deskami protipožárními DF tl. 2 x 12,5 mm, stěna tl. 75 mm, s izolací, EI 45</t>
  </si>
  <si>
    <t>https://podminky.urs.cz/item/CS_URS_2022_02/763121551</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</si>
  <si>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
8. Ostatní konstrukce a práce a příplatky, neuvedené v tomto souboru cen, se oceňují cenami 763 11-17.. pro příčky ze sádrokartonových desek.
</t>
  </si>
  <si>
    <t>Ventilátor CHÚC ve strojovně 1.04 bude opláštěn konstrukcí ze sádrokartonu</t>
  </si>
  <si>
    <t>1,2*(1,0+2,0)+1,0*2,0</t>
  </si>
  <si>
    <t>763121714</t>
  </si>
  <si>
    <t>SDK stěna předsazená základní penetrační nátěr</t>
  </si>
  <si>
    <t>-1073185461</t>
  </si>
  <si>
    <t>Stěna předsazená ze sádrokartonových desek ostatní konstrukce a práce na předsazených stěnách ze sádrokartonových desek základní penetrační nátěr</t>
  </si>
  <si>
    <t>https://podminky.urs.cz/item/CS_URS_2022_02/763121714</t>
  </si>
  <si>
    <t>763131411</t>
  </si>
  <si>
    <t>SDK podhled desky 1xA 12,5 bez izolace dvouvrstvá spodní kce profil CD+UD</t>
  </si>
  <si>
    <t>-647660221</t>
  </si>
  <si>
    <t>Podhled ze sádrokartonových desek dvouvrstvá zavěšená spodní konstrukce z ocelových profilů CD, UD jednoduše opláštěná deskou standardní A, tl. 12,5 mm, bez izolace</t>
  </si>
  <si>
    <t>https://podminky.urs.cz/item/CS_URS_2022_02/763131411</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</si>
  <si>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</si>
  <si>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23,6+9</t>
  </si>
  <si>
    <t>763131451</t>
  </si>
  <si>
    <t>SDK podhled deska 1xH2 12,5 bez izolace dvouvrstvá spodní kce profil CD+UD</t>
  </si>
  <si>
    <t>-109787348</t>
  </si>
  <si>
    <t>Podhled ze sádrokartonových desek dvouvrstvá zavěšená spodní konstrukce z ocelových profilů CD, UD jednoduše opláštěná deskou impregnovanou H2, tl. 12,5 mm, bez izolace</t>
  </si>
  <si>
    <t>https://podminky.urs.cz/item/CS_URS_2022_02/763131451</t>
  </si>
  <si>
    <t>4,8+6,8+1,8+2,9</t>
  </si>
  <si>
    <t>4,8+7,9+3,8+2</t>
  </si>
  <si>
    <t>763131714</t>
  </si>
  <si>
    <t>SDK podhled základní penetrační nátěr</t>
  </si>
  <si>
    <t>2121370412</t>
  </si>
  <si>
    <t>Podhled ze sádrokartonových desek ostatní práce a konstrukce na podhledech ze sádrokartonových desek základní penetrační nátěr</t>
  </si>
  <si>
    <t>https://podminky.urs.cz/item/CS_URS_2022_02/763131714</t>
  </si>
  <si>
    <t>763131771</t>
  </si>
  <si>
    <t>Příplatek k SDK podhledu za rovinnost kvality Q3</t>
  </si>
  <si>
    <t>-778668225</t>
  </si>
  <si>
    <t>Podhled ze sádrokartonových desek Příplatek k cenám za rovinnost kvality speciální tmelení kvality Q3</t>
  </si>
  <si>
    <t>https://podminky.urs.cz/item/CS_URS_2022_02/763131771</t>
  </si>
  <si>
    <t>998763302</t>
  </si>
  <si>
    <t>Přesun hmot tonážní pro sádrokartonové konstrukce v objektech v přes 6 do 12 m</t>
  </si>
  <si>
    <t>1625847178</t>
  </si>
  <si>
    <t>Přesun hmot pro konstrukce montované z desek sádrokartonových, sádrovláknitých, cementovláknitých nebo cementových stanovený z hmotnosti přesunovaného materiálu vodorovná dopravní vzdálenost do 50 m v objektech výšky přes 6 do 12 m</t>
  </si>
  <si>
    <t>https://podminky.urs.cz/item/CS_URS_2022_02/998763302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</si>
  <si>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</si>
  <si>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998763381</t>
  </si>
  <si>
    <t>Příplatek k přesunu hmot tonážní 763 SDK prováděný bez použití mechanizace</t>
  </si>
  <si>
    <t>1219478947</t>
  </si>
  <si>
    <t>Přesun hmot pro konstrukce montované z desek sádrokartonových, sádrovláknitých, cementovláknitých nebo cementových Příplatek k cenám za přesun prováděný bez použití mechanizace pro jakoukoliv výšku objektu</t>
  </si>
  <si>
    <t>https://podminky.urs.cz/item/CS_URS_2022_02/998763381</t>
  </si>
  <si>
    <t>766660001</t>
  </si>
  <si>
    <t>Montáž dveřních křídel otvíravých jednokřídlových š do 0,8 m do ocelové zárubně</t>
  </si>
  <si>
    <t>1351757408</t>
  </si>
  <si>
    <t>Montáž dveřních křídel dřevěných nebo plastových otevíravých do ocelové zárubně povrchově upravených jednokřídlových, šířky do 800 mm</t>
  </si>
  <si>
    <t>https://podminky.urs.cz/item/CS_URS_2022_02/766660001</t>
  </si>
  <si>
    <t>61162085</t>
  </si>
  <si>
    <t>dveře jednokřídlé dřevotřískové povrch laminátový plné 700x1970-2100mm</t>
  </si>
  <si>
    <t>-766128828</t>
  </si>
  <si>
    <t>dveře jednokřídlé dřevotřískové povrch laminátový plné 700x1970/2100mm</t>
  </si>
  <si>
    <t>766660002</t>
  </si>
  <si>
    <t>Montáž dveřních křídel otvíravých jednokřídlových š přes 0,8 m do ocelové zárubně</t>
  </si>
  <si>
    <t>1769473112</t>
  </si>
  <si>
    <t>Montáž dveřních křídel dřevěných nebo plastových otevíravých do ocelové zárubně povrchově upravených jednokřídlových, šířky přes 800 mm</t>
  </si>
  <si>
    <t>https://podminky.urs.cz/item/CS_URS_2022_02/766660002</t>
  </si>
  <si>
    <t>61162087R</t>
  </si>
  <si>
    <t>dveře jednokřídlé dřevotřískové povrch laminátový plné 900x1970-2100mm + madlo</t>
  </si>
  <si>
    <t>-1108096573</t>
  </si>
  <si>
    <t>766660011</t>
  </si>
  <si>
    <t>Montáž dveřních křídel otvíravých dvoukřídlových š do 1,45 m do ocelové zárubně</t>
  </si>
  <si>
    <t>736701584</t>
  </si>
  <si>
    <t>Montáž dveřních křídel dřevěných nebo plastových otevíravých do ocelové zárubně povrchově upravených dvoukřídlových, šířky do 1450 mm</t>
  </si>
  <si>
    <t>https://podminky.urs.cz/item/CS_URS_2022_02/766660011</t>
  </si>
  <si>
    <t>61162115R</t>
  </si>
  <si>
    <t>dveře dvoukřídlé dřevotřískové povrch laminátový plné 400+1000/1970 mm</t>
  </si>
  <si>
    <t>1711273812</t>
  </si>
  <si>
    <t>766660021</t>
  </si>
  <si>
    <t>Montáž dveřních křídel otvíravých jednokřídlových š do 0,8 m požárních do ocelové zárubně</t>
  </si>
  <si>
    <t>1295875852</t>
  </si>
  <si>
    <t>Montáž dveřních křídel dřevěných nebo plastových otevíravých do ocelové zárubně protipožárních jednokřídlových, šířky do 800 mm</t>
  </si>
  <si>
    <t>https://podminky.urs.cz/item/CS_URS_2022_02/766660021</t>
  </si>
  <si>
    <t>61162098</t>
  </si>
  <si>
    <t>dveře jednokřídlé dřevotřískové protipožární EI (EW) 30 D3 povrch laminátový plné 800x1970-2100mm- EI30DP3</t>
  </si>
  <si>
    <t>1131908311</t>
  </si>
  <si>
    <t>dveře jednokřídlé dřevotřískové protipožární EI (EW) 30 D3 povrch laminátový plné 800x1970/2100mm</t>
  </si>
  <si>
    <t>766660022</t>
  </si>
  <si>
    <t>Montáž dveřních křídel otvíravých jednokřídlových š přes 0,8 m požárních do ocelové zárubně</t>
  </si>
  <si>
    <t>-2034670390</t>
  </si>
  <si>
    <t>Montáž dveřních křídel dřevěných nebo plastových otevíravých do ocelové zárubně protipožárních jednokřídlových, šířky přes 800 mm</t>
  </si>
  <si>
    <t>https://podminky.urs.cz/item/CS_URS_2022_02/766660022</t>
  </si>
  <si>
    <t>61165314</t>
  </si>
  <si>
    <t>dveře jednokřídlé dřevotřískové protipožární EI (EW) 30 D3 povrch laminátový plné 900x1970-2100mm - EI30DP3</t>
  </si>
  <si>
    <t>-1341046935</t>
  </si>
  <si>
    <t>dveře jednokřídlé dřevotřískové protipožární EI (EW) 30 D3 povrch laminátový plné 900x1970/2100mm</t>
  </si>
  <si>
    <t>766660031</t>
  </si>
  <si>
    <t>Montáž dveřních křídel otvíravých dvoukřídlových požárních do ocelové zárubně</t>
  </si>
  <si>
    <t>126374139</t>
  </si>
  <si>
    <t>Montáž dveřních křídel dřevěných nebo plastových otevíravých do ocelové zárubně protipožárních dvoukřídlových jakékoliv šířky</t>
  </si>
  <si>
    <t>https://podminky.urs.cz/item/CS_URS_2022_02/766660031</t>
  </si>
  <si>
    <t>61165322R</t>
  </si>
  <si>
    <t>dveře dvoukřídlé dřevotřískové protipožární EI 30 D3 povrch laminátový plné 500+900/1970mm</t>
  </si>
  <si>
    <t>1357425495</t>
  </si>
  <si>
    <t>61165322R1</t>
  </si>
  <si>
    <t>dveře dvoukřídlé dřevotřískové protipožární EI 30 D3 povrch laminátový plné 400+1000/1970mm</t>
  </si>
  <si>
    <t>-1279607096</t>
  </si>
  <si>
    <t>766660717</t>
  </si>
  <si>
    <t>Montáž dveřních křídel samozavírače na ocelovou zárubeň</t>
  </si>
  <si>
    <t>1729180334</t>
  </si>
  <si>
    <t>Montáž dveřních doplňků samozavírače na zárubeň ocelovou</t>
  </si>
  <si>
    <t>https://podminky.urs.cz/item/CS_URS_2022_02/766660717</t>
  </si>
  <si>
    <t>1+1+3+2</t>
  </si>
  <si>
    <t>54917250</t>
  </si>
  <si>
    <t>samozavírač dveří hydraulický</t>
  </si>
  <si>
    <t>254495298</t>
  </si>
  <si>
    <t>samozavírač dveří hydraulický K214 č.11 zlatá bronz</t>
  </si>
  <si>
    <t>766660728</t>
  </si>
  <si>
    <t>Montáž dveřního interiérového kování - zámku</t>
  </si>
  <si>
    <t>334041288</t>
  </si>
  <si>
    <t>Montáž dveřních doplňků dveřního kování interiérového zámku</t>
  </si>
  <si>
    <t>https://podminky.urs.cz/item/CS_URS_2022_02/766660728</t>
  </si>
  <si>
    <t>54924001</t>
  </si>
  <si>
    <t>zámek zadlabací vložkový pravolevý rozteč 90x50,5mm</t>
  </si>
  <si>
    <t>-1994717857</t>
  </si>
  <si>
    <t>zámek zadlabací 5140/22N 1/2</t>
  </si>
  <si>
    <t>766660729</t>
  </si>
  <si>
    <t>Montáž dveřního interiérového kování - štítku s klikou</t>
  </si>
  <si>
    <t>-986322918</t>
  </si>
  <si>
    <t>Montáž dveřních doplňků dveřního kování interiérového štítku s klikou</t>
  </si>
  <si>
    <t>https://podminky.urs.cz/item/CS_URS_2022_02/766660729</t>
  </si>
  <si>
    <t>15+1+2+1+4+1+2+2</t>
  </si>
  <si>
    <t>54914620</t>
  </si>
  <si>
    <t>kování rozetové spodní pro cylindrickou vložku</t>
  </si>
  <si>
    <t>1950616922</t>
  </si>
  <si>
    <t>kování dveřní vrchní klika včetně rozet a montážního materiálu R PZ nerez PK</t>
  </si>
  <si>
    <t>766694111</t>
  </si>
  <si>
    <t>Montáž parapetních desek dřevěných nebo plastových š do 30 cm dl do 1,0 m</t>
  </si>
  <si>
    <t>-1158089239</t>
  </si>
  <si>
    <t>Montáž ostatních truhlářských konstrukcí parapetních desek dřevěných nebo plastových šířky do 300 mm, délky do 1000 mm</t>
  </si>
  <si>
    <t>https://podminky.urs.cz/item/CS_URS_2022_02/766694111</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</si>
  <si>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</si>
  <si>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766694113</t>
  </si>
  <si>
    <t>Montáž parapetních desek dřevěných nebo plastových š do 30 cm dl přes 1,6 do 2,6 m</t>
  </si>
  <si>
    <t>1912231891</t>
  </si>
  <si>
    <t>Montáž ostatních truhlářských konstrukcí parapetních desek dřevěných nebo plastových šířky do 300 mm, délky přes 1600 do 2600 mm</t>
  </si>
  <si>
    <t>https://podminky.urs.cz/item/CS_URS_2022_02/766694113</t>
  </si>
  <si>
    <t>6+2+3</t>
  </si>
  <si>
    <t>766694114</t>
  </si>
  <si>
    <t>Montáž parapetních desek dřevěných nebo plastových š do 30 cm dl přes 2,6 do 3,6 m</t>
  </si>
  <si>
    <t>1624361064</t>
  </si>
  <si>
    <t>Montáž ostatních truhlářských konstrukcí parapetních desek dřevěných nebo plastových šířky do 300 mm, délky přes 2600 do 3600 mm</t>
  </si>
  <si>
    <t>https://podminky.urs.cz/item/CS_URS_2022_02/766694114</t>
  </si>
  <si>
    <t>61144402</t>
  </si>
  <si>
    <t>parapet plastový vnitřní komůrkový tl 20mm š 305mm</t>
  </si>
  <si>
    <t>784502723</t>
  </si>
  <si>
    <t>parapet plastový vnitřní komůrkový 305x20x1000mm</t>
  </si>
  <si>
    <t>2,4*6+3,6*2+2,4+2,4*2+1,8</t>
  </si>
  <si>
    <t>61144019</t>
  </si>
  <si>
    <t>koncovka k parapetu plastovému vnitřnímu 1 pár</t>
  </si>
  <si>
    <t>sada</t>
  </si>
  <si>
    <t>-1755391254</t>
  </si>
  <si>
    <t>8+8</t>
  </si>
  <si>
    <t>6+3+3</t>
  </si>
  <si>
    <t>1759629126</t>
  </si>
  <si>
    <t>750052201</t>
  </si>
  <si>
    <t>-628079538</t>
  </si>
  <si>
    <t>zábradlí kolem terasy</t>
  </si>
  <si>
    <t>1,865+2,295+2,516+1,55</t>
  </si>
  <si>
    <t>schodišťové zábradlí</t>
  </si>
  <si>
    <t>3,5+1,8+3,9</t>
  </si>
  <si>
    <t>Z1</t>
  </si>
  <si>
    <t>zábradlí kolem terasy - výroba a dodávka, žár.zibk.</t>
  </si>
  <si>
    <t>-39997091</t>
  </si>
  <si>
    <t>(1,865+2,295+0,15+0,15+2,516+1,55)*4,323</t>
  </si>
  <si>
    <t>1,225*(3+3+3)*4,323</t>
  </si>
  <si>
    <t>((1,24+0,465+0,475+1,46+1,632)*2+0,617+1,318+0,52+1,405)*1,18</t>
  </si>
  <si>
    <t>0,73*(9+4+4+11+11+15)*0,888</t>
  </si>
  <si>
    <t>10% ztrazné</t>
  </si>
  <si>
    <t>13,65</t>
  </si>
  <si>
    <t>Z2</t>
  </si>
  <si>
    <t>zábradlí kolem schodiště - výroba a dodávka</t>
  </si>
  <si>
    <t>1555719199</t>
  </si>
  <si>
    <t>Návrh zábradlí kolem zrcadla vnitřního schodiště bude sladěn s konstrukcí opláštění a barevností výtahové šachty</t>
  </si>
  <si>
    <t>9,2</t>
  </si>
  <si>
    <t>767646522</t>
  </si>
  <si>
    <t>Montáž dveří protipožárního uzávěru dvoukřídlového v přes 1970 do 2200 mm</t>
  </si>
  <si>
    <t>-1793651273</t>
  </si>
  <si>
    <t>Montáž dveří ocelových nebo hliníkových protipožárních uzávěrů dvoukřídlových, výšky přes 1970 do 2200 mm</t>
  </si>
  <si>
    <t>https://podminky.urs.cz/item/CS_URS_2022_02/767646522</t>
  </si>
  <si>
    <t>RMAT0001</t>
  </si>
  <si>
    <t>dveře protipožární AL 100+100/210 cm EI 30 DP1 včetně rámu</t>
  </si>
  <si>
    <t>-198865714</t>
  </si>
  <si>
    <t>RMAT0002</t>
  </si>
  <si>
    <t>dveře protipožární AL 50+90/210 cm EI 30 DP1 včetně rámu</t>
  </si>
  <si>
    <t>462244571</t>
  </si>
  <si>
    <t>767649191</t>
  </si>
  <si>
    <t>Montáž dveří - samozavírače hydraulického</t>
  </si>
  <si>
    <t>-1132824096</t>
  </si>
  <si>
    <t>Montáž dveří ocelových nebo hliníkových doplňků dveří samozavírače hydraulického</t>
  </si>
  <si>
    <t>https://podminky.urs.cz/item/CS_URS_2022_02/767649191</t>
  </si>
  <si>
    <t>1023125318</t>
  </si>
  <si>
    <t>-451016958</t>
  </si>
  <si>
    <t>-1270391733</t>
  </si>
  <si>
    <t>1811591900</t>
  </si>
  <si>
    <t>-1482032959</t>
  </si>
  <si>
    <t>771151021</t>
  </si>
  <si>
    <t>Samonivelační stěrka podlah pevnosti 30 MPa tl 3 mm</t>
  </si>
  <si>
    <t>-414589571</t>
  </si>
  <si>
    <t>Příprava podkladu před provedením dlažby samonivelační stěrka min.pevnosti 30 MPa, tloušťky do 3 mm</t>
  </si>
  <si>
    <t>https://podminky.urs.cz/item/CS_URS_2022_02/771151021</t>
  </si>
  <si>
    <t>2058576615</t>
  </si>
  <si>
    <t>1,35*(10+6+11)</t>
  </si>
  <si>
    <t>1867507487</t>
  </si>
  <si>
    <t>995721190</t>
  </si>
  <si>
    <t>13,7*2+6,22*2-2,5-1,4*2-0,9-0,7*2-1,4</t>
  </si>
  <si>
    <t>3,87*2+4,25*2-0,9</t>
  </si>
  <si>
    <t>0,9*2+1,6*2+1,2*2+1,335*6-0,7*6</t>
  </si>
  <si>
    <t>2,275*2+1,2*2+1,2*4-0,7*5</t>
  </si>
  <si>
    <t>1,2*2+1,875*2+1,2*4-0,7*2</t>
  </si>
  <si>
    <t>2,15*2+1,8*2-0,9</t>
  </si>
  <si>
    <t>1,31*2+1,8*2-0,7</t>
  </si>
  <si>
    <t>2,55*2+3,535*2-1,4-0,9-0,8-0,7</t>
  </si>
  <si>
    <t>1,2*2+3,535*2-0,8</t>
  </si>
  <si>
    <t>2,275*2+1,2*2+1,2*4-0,7*4</t>
  </si>
  <si>
    <t>1,5*2+1,875*2+1,2*4-0,7*3</t>
  </si>
  <si>
    <t>1,6*2+1,8*2-0,9</t>
  </si>
  <si>
    <t>13,8*2+8,3*2-4,2-1,4*3-1,4-0,9-0,7*2</t>
  </si>
  <si>
    <t>-1504543260</t>
  </si>
  <si>
    <t>172,360/0,33</t>
  </si>
  <si>
    <t>522,303*1,1 'Přepočtené koeficientem množství</t>
  </si>
  <si>
    <t>771574240</t>
  </si>
  <si>
    <t>Montáž podlah keramických pro mechanické zatížení hladkých lepených flexibilním lepidlem do 9 ks/m2</t>
  </si>
  <si>
    <t>1434782821</t>
  </si>
  <si>
    <t>Montáž podlah z dlaždic keramických lepených flexibilním lepidlem maloformátových pro vysoké mechanické zatížení hladkých přes 6 do 9 ks/m2</t>
  </si>
  <si>
    <t>https://podminky.urs.cz/item/CS_URS_2022_02/771574240</t>
  </si>
  <si>
    <t>23,6+21,6+4,8+7,9+9+4,3+3,8+2</t>
  </si>
  <si>
    <t>56,5+4,8+6,8+1,8+2,8</t>
  </si>
  <si>
    <t>59761011R</t>
  </si>
  <si>
    <t>dlažba keramická slinutá hladká do interiéru i exteriéru do 9ks/m2 - dle výběru investora</t>
  </si>
  <si>
    <t>-2143436678</t>
  </si>
  <si>
    <t>149,7</t>
  </si>
  <si>
    <t>36,450*0,6</t>
  </si>
  <si>
    <t>171,57*1,15 'Přepočtené koeficientem množství</t>
  </si>
  <si>
    <t>771591112</t>
  </si>
  <si>
    <t>Izolace pod dlažbu nátěrem nebo stěrkou ve dvou vrstvách</t>
  </si>
  <si>
    <t>-832241342</t>
  </si>
  <si>
    <t>Izolace podlahy pod dlažbu nátěrem nebo stěrkou ve dvou vrstvách</t>
  </si>
  <si>
    <t>https://podminky.urs.cz/item/CS_URS_2022_02/771591112</t>
  </si>
  <si>
    <t>771591115</t>
  </si>
  <si>
    <t>Podlahy spárování silikonem</t>
  </si>
  <si>
    <t>12360673</t>
  </si>
  <si>
    <t>Podlahy - dokončovací práce spárování silikonem</t>
  </si>
  <si>
    <t>https://podminky.urs.cz/item/CS_URS_2022_02/771591115</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</si>
  <si>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</si>
  <si>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771592011</t>
  </si>
  <si>
    <t>Čištění vnitřních ploch podlah nebo schodišť po položení dlažby chemickými prostředky</t>
  </si>
  <si>
    <t>-1498960465</t>
  </si>
  <si>
    <t>Čištění vnitřních ploch po položení dlažby podlah nebo schodišť chemickými prostředky</t>
  </si>
  <si>
    <t>https://podminky.urs.cz/item/CS_URS_2022_02/771592011</t>
  </si>
  <si>
    <t>1434244500</t>
  </si>
  <si>
    <t>-1255391725</t>
  </si>
  <si>
    <t>776</t>
  </si>
  <si>
    <t>Podlahy povlakové</t>
  </si>
  <si>
    <t>776111111</t>
  </si>
  <si>
    <t>Broušení anhydritového podkladu povlakových podlah</t>
  </si>
  <si>
    <t>-1684532200</t>
  </si>
  <si>
    <t>Příprava podkladu broušení podlah nového podkladu anhydritového</t>
  </si>
  <si>
    <t>https://podminky.urs.cz/item/CS_URS_2022_02/776111111</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</si>
  <si>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</si>
  <si>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542,14</t>
  </si>
  <si>
    <t>776111311</t>
  </si>
  <si>
    <t>Vysátí podkladu povlakových podlah</t>
  </si>
  <si>
    <t>-1067813475</t>
  </si>
  <si>
    <t>Příprava podkladu vysátí podlah</t>
  </si>
  <si>
    <t>https://podminky.urs.cz/item/CS_URS_2022_02/776111311</t>
  </si>
  <si>
    <t>776121311</t>
  </si>
  <si>
    <t>Vodou ředitelná penetrace savého podkladu povlakových podlah</t>
  </si>
  <si>
    <t>-530302262</t>
  </si>
  <si>
    <t>Příprava podkladu penetrace vodou ředitelná podlah</t>
  </si>
  <si>
    <t>https://podminky.urs.cz/item/CS_URS_2022_02/776121311</t>
  </si>
  <si>
    <t>776141121</t>
  </si>
  <si>
    <t>Stěrka podlahová nivelační pro vyrovnání podkladu povlakových podlah pevnosti 30 MPa tl do 3 mm</t>
  </si>
  <si>
    <t>405529334</t>
  </si>
  <si>
    <t>Příprava podkladu vyrovnání samonivelační stěrkou podlah min.pevnosti 30 MPa, tloušťky do 3 mm</t>
  </si>
  <si>
    <t>https://podminky.urs.cz/item/CS_URS_2022_02/776141121</t>
  </si>
  <si>
    <t>776251111</t>
  </si>
  <si>
    <t>Lepení pásů z přírodního linolea (marmolea) standardním lepidlem</t>
  </si>
  <si>
    <t>617915329</t>
  </si>
  <si>
    <t>Montáž podlahovin z přírodního linolea (marmolea) lepením standardním lepidlem z pásů standardních</t>
  </si>
  <si>
    <t>https://podminky.urs.cz/item/CS_URS_2022_02/776251111</t>
  </si>
  <si>
    <t>171</t>
  </si>
  <si>
    <t>90,9+79,6+47,9</t>
  </si>
  <si>
    <t>28411069</t>
  </si>
  <si>
    <t>linoleum přírodní ze 100% dřevité moučky tl 2,5mm, zátěž 34/43, R9, hořlavost Cfl S1</t>
  </si>
  <si>
    <t>433970968</t>
  </si>
  <si>
    <t>389,4*1,1 'Přepočtené koeficientem množství</t>
  </si>
  <si>
    <t>776251411</t>
  </si>
  <si>
    <t>Spoj podlah z přírodního linolea (marmolea) svařováním za tepla</t>
  </si>
  <si>
    <t>-1980070422</t>
  </si>
  <si>
    <t>Montáž podlahovin z přírodního linolea (marmolea) spoj podlah svařováním za tepla</t>
  </si>
  <si>
    <t>https://podminky.urs.cz/item/CS_URS_2022_02/776251411</t>
  </si>
  <si>
    <t>17,5*2</t>
  </si>
  <si>
    <t>13,69</t>
  </si>
  <si>
    <t>9,8</t>
  </si>
  <si>
    <t>17,8</t>
  </si>
  <si>
    <t>776411111</t>
  </si>
  <si>
    <t>Montáž obvodových soklíků výšky do 80 mm</t>
  </si>
  <si>
    <t>883385509</t>
  </si>
  <si>
    <t>Montáž soklíků lepením obvodových, výšky do 80 mm</t>
  </si>
  <si>
    <t>https://podminky.urs.cz/item/CS_URS_2022_02/776411111</t>
  </si>
  <si>
    <t>17,5*2+9,855*2-1,4*3</t>
  </si>
  <si>
    <t>13,69*2+5,9*2-1,4</t>
  </si>
  <si>
    <t>17,8*2+5,155*2-1,4</t>
  </si>
  <si>
    <t>9,8*2+4,935*2-1,4</t>
  </si>
  <si>
    <t>28411009</t>
  </si>
  <si>
    <t>lišta soklová PVC 18x80mm</t>
  </si>
  <si>
    <t>1971729390</t>
  </si>
  <si>
    <t>160,87*1,02 'Přepočtené koeficientem množství</t>
  </si>
  <si>
    <t>776991121</t>
  </si>
  <si>
    <t>Základní čištění nově položených podlahovin vysátím a setřením vlhkým mopem</t>
  </si>
  <si>
    <t>-1402450542</t>
  </si>
  <si>
    <t>Ostatní práce údržba nových podlahovin po pokládce čištění základní</t>
  </si>
  <si>
    <t>https://podminky.urs.cz/item/CS_URS_2022_02/776991121</t>
  </si>
  <si>
    <t xml:space="preserve">Poznámka k souboru cen:
1. V ceně 776 99-1121 jsou započteny náklady na vysátí podlahy a setření vlhkým mopem.
2. V ceně 776 99-1141 jsou započteny i náklady na dodání pasty.
</t>
  </si>
  <si>
    <t>998776102</t>
  </si>
  <si>
    <t>Přesun hmot tonážní pro podlahy povlakové v objektech v přes 6 do 12 m</t>
  </si>
  <si>
    <t>1621069895</t>
  </si>
  <si>
    <t>Přesun hmot pro podlahy povlakové stanovený z hmotnosti přesunovaného materiálu vodorovná dopravní vzdálenost do 50 m v objektech výšky přes 6 do 12 m</t>
  </si>
  <si>
    <t>https://podminky.urs.cz/item/CS_URS_2022_02/998776102</t>
  </si>
  <si>
    <t>998776181</t>
  </si>
  <si>
    <t>Příplatek k přesunu hmot tonážní 776 prováděný bez použití mechanizace</t>
  </si>
  <si>
    <t>-1724731662</t>
  </si>
  <si>
    <t>Přesun hmot pro podlahy povlakové stanovený z hmotnosti přesunovaného materiálu Příplatek k cenám za přesun prováděný bez použití mechanizace pro jakoukoliv výšku objektu</t>
  </si>
  <si>
    <t>https://podminky.urs.cz/item/CS_URS_2022_02/998776181</t>
  </si>
  <si>
    <t>781</t>
  </si>
  <si>
    <t>Dokončovací práce - obklady</t>
  </si>
  <si>
    <t>781111011</t>
  </si>
  <si>
    <t>Ometení (oprášení) stěny při přípravě podkladu</t>
  </si>
  <si>
    <t>-1159086720</t>
  </si>
  <si>
    <t>Příprava podkladu před provedením obkladu oprášení (ometení) stěny</t>
  </si>
  <si>
    <t>https://podminky.urs.cz/item/CS_URS_2022_02/781111011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</si>
  <si>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</si>
  <si>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781121011</t>
  </si>
  <si>
    <t>Nátěr penetrační na stěnu</t>
  </si>
  <si>
    <t>-1292151521</t>
  </si>
  <si>
    <t>Příprava podkladu před provedením obkladu nátěr penetrační na stěnu</t>
  </si>
  <si>
    <t>https://podminky.urs.cz/item/CS_URS_2022_02/781121011</t>
  </si>
  <si>
    <t>781474112</t>
  </si>
  <si>
    <t>Montáž obkladů vnitřních keramických hladkých přes 9 do 12 ks/m2 lepených flexibilním lepidlem</t>
  </si>
  <si>
    <t>-1883297122</t>
  </si>
  <si>
    <t>Montáž obkladů vnitřních stěn z dlaždic keramických lepených flexibilním lepidlem maloformátových hladkých přes 9 do 12 ks/m2</t>
  </si>
  <si>
    <t>https://podminky.urs.cz/item/CS_URS_2022_02/781474112</t>
  </si>
  <si>
    <t xml:space="preserve">Poznámka k souboru cen:
1. Položky jsou určeny pro všechny druhy povrchových úprav.
</t>
  </si>
  <si>
    <t>2,0*(0,9+0,5*2+1,6+0,5*2+0,5+2+1,5+1,5*0,5)</t>
  </si>
  <si>
    <t>1,8*(1,8*2+1,31*2-0,7)</t>
  </si>
  <si>
    <t>2,0*(0,9+0,5*2+1,6+0,5*2+0,5+2+1,5+1,5+0,5)</t>
  </si>
  <si>
    <t>1,8*(1,5*2+1,2*2-0,7)</t>
  </si>
  <si>
    <t>učebny</t>
  </si>
  <si>
    <t>2,0*(1,5+0,5)*3+2,0*1,5</t>
  </si>
  <si>
    <t>59761026R</t>
  </si>
  <si>
    <t>obklad keramický hladký do 12ks/m2  - dle výběru investora</t>
  </si>
  <si>
    <t>-1367230522</t>
  </si>
  <si>
    <t>obklad keramický hladký do 12ks/m2 - dle výběru investora</t>
  </si>
  <si>
    <t>72,896*1,1 'Přepočtené koeficientem množství</t>
  </si>
  <si>
    <t>781477111</t>
  </si>
  <si>
    <t>Příplatek k montáži obkladů vnitřních keramických hladkých za plochu do 10 m2</t>
  </si>
  <si>
    <t>-463026078</t>
  </si>
  <si>
    <t>Montáž obkladů vnitřních stěn z dlaždic keramických Příplatek k cenám za plochu do 10 m2 jednotlivě</t>
  </si>
  <si>
    <t>https://podminky.urs.cz/item/CS_URS_2022_02/781477111</t>
  </si>
  <si>
    <t>781477112</t>
  </si>
  <si>
    <t>Příplatek k montáži obkladů vnitřních keramických hladkých za omezený prostor</t>
  </si>
  <si>
    <t>-2101651801</t>
  </si>
  <si>
    <t>Montáž obkladů vnitřních stěn z dlaždic keramických Příplatek k cenám za obklady v omezeném prostoru</t>
  </si>
  <si>
    <t>https://podminky.urs.cz/item/CS_URS_2022_02/781477112</t>
  </si>
  <si>
    <t>781477114</t>
  </si>
  <si>
    <t>Příplatek k montáži obkladů vnitřních keramických hladkých za spárování tmelem dvousložkovým</t>
  </si>
  <si>
    <t>-83286195</t>
  </si>
  <si>
    <t>Montáž obkladů vnitřních stěn z dlaždic keramických Příplatek k cenám za dvousložkový spárovací tmel</t>
  </si>
  <si>
    <t>https://podminky.urs.cz/item/CS_URS_2022_02/781477114</t>
  </si>
  <si>
    <t>781494111</t>
  </si>
  <si>
    <t>Plastové profily rohové lepené flexibilním lepidlem</t>
  </si>
  <si>
    <t>-286316363</t>
  </si>
  <si>
    <t>Obklad - dokončující práce profily ukončovací lepené flexibilním lepidlem rohové</t>
  </si>
  <si>
    <t>https://podminky.urs.cz/item/CS_URS_2022_02/781494111</t>
  </si>
  <si>
    <t xml:space="preserve">Poznámka k souboru cen:
1. Množství měrných jednotek u ceny -5185 se stanoví podle počtu řezaných obkladaček, nezávisle na jejich velikosti.
2. Položku -5185 lze použít při nuceném použití jiného nástroje než řezačky.
</t>
  </si>
  <si>
    <t>1,8*4*2</t>
  </si>
  <si>
    <t>2,0*(2+2+1+1)</t>
  </si>
  <si>
    <t>2,0*(2+2+1+1+1)</t>
  </si>
  <si>
    <t>2,0*3</t>
  </si>
  <si>
    <t>781494511</t>
  </si>
  <si>
    <t>Plastové profily ukončovací lepené flexibilním lepidlem</t>
  </si>
  <si>
    <t>-1890971494</t>
  </si>
  <si>
    <t>Obklad - dokončující práce profily ukončovací lepené flexibilním lepidlem ukončovací</t>
  </si>
  <si>
    <t>https://podminky.urs.cz/item/CS_URS_2022_02/781494511</t>
  </si>
  <si>
    <t>(0,9+0,5*2+1,6+0,5*2+0,5+2+1,5+1,5*0,5)</t>
  </si>
  <si>
    <t>(1,8*2+1,31*2-0,7)</t>
  </si>
  <si>
    <t>(0,9+0,5*2+1,6+0,5*2+0,5+2+1,5+1,5+0,5)</t>
  </si>
  <si>
    <t>(1,5*2+1,2*2-0,7)</t>
  </si>
  <si>
    <t>(1,5+0,5)*3+1,5</t>
  </si>
  <si>
    <t>781495141</t>
  </si>
  <si>
    <t>Průnik obkladem kruhový do DN 30</t>
  </si>
  <si>
    <t>-51212311</t>
  </si>
  <si>
    <t>Obklad - dokončující práce průnik obkladem kruhový, bez izolace do DN 30</t>
  </si>
  <si>
    <t>https://podminky.urs.cz/item/CS_URS_2022_02/781495141</t>
  </si>
  <si>
    <t>7+16</t>
  </si>
  <si>
    <t>6+20</t>
  </si>
  <si>
    <t>781495142</t>
  </si>
  <si>
    <t>Průnik obkladem kruhový přes DN 30 do DN 90</t>
  </si>
  <si>
    <t>308846020</t>
  </si>
  <si>
    <t>Obklad - dokončující práce průnik obkladem kruhový, bez izolace přes DN 30 do DN 90</t>
  </si>
  <si>
    <t>https://podminky.urs.cz/item/CS_URS_2022_02/781495142</t>
  </si>
  <si>
    <t>781495143</t>
  </si>
  <si>
    <t>Průnik obkladem kruhový přes DN 90</t>
  </si>
  <si>
    <t>-129764473</t>
  </si>
  <si>
    <t>Obklad - dokončující práce průnik obkladem kruhový, bez izolace přes DN 90</t>
  </si>
  <si>
    <t>https://podminky.urs.cz/item/CS_URS_2022_02/781495143</t>
  </si>
  <si>
    <t>781495211</t>
  </si>
  <si>
    <t>Čištění vnitřních ploch stěn po provedení obkladu chemickými prostředky</t>
  </si>
  <si>
    <t>-397997640</t>
  </si>
  <si>
    <t>Čištění vnitřních ploch po provedení obkladu stěn chemickými prostředky</t>
  </si>
  <si>
    <t>https://podminky.urs.cz/item/CS_URS_2022_02/781495211</t>
  </si>
  <si>
    <t>998781102</t>
  </si>
  <si>
    <t>Přesun hmot tonážní pro obklady keramické v objektech v přes 6 do 12 m</t>
  </si>
  <si>
    <t>1500255235</t>
  </si>
  <si>
    <t>Přesun hmot pro obklady keramické stanovený z hmotnosti přesunovaného materiálu vodorovná dopravní vzdálenost do 50 m v objektech výšky přes 6 do 12 m</t>
  </si>
  <si>
    <t>https://podminky.urs.cz/item/CS_URS_2022_02/998781102</t>
  </si>
  <si>
    <t>998781181</t>
  </si>
  <si>
    <t>Příplatek k přesunu hmot tonážní 781 prováděný bez použití mechanizace</t>
  </si>
  <si>
    <t>-1415730148</t>
  </si>
  <si>
    <t>Přesun hmot pro obklady keramické stanovený z hmotnosti přesunovaného materiálu Příplatek k cenám za přesun prováděný bez použití mechanizace pro jakoukoliv výšku objektu</t>
  </si>
  <si>
    <t>https://podminky.urs.cz/item/CS_URS_2022_02/998781181</t>
  </si>
  <si>
    <t>783301311</t>
  </si>
  <si>
    <t>Odmaštění zámečnických konstrukcí vodou ředitelným odmašťovačem</t>
  </si>
  <si>
    <t>-1690476364</t>
  </si>
  <si>
    <t>Příprava podkladu zámečnických konstrukcí před provedením nátěru odmaštění odmašťovačem vodou ředitelným</t>
  </si>
  <si>
    <t>https://podminky.urs.cz/item/CS_URS_2022_02/783301311</t>
  </si>
  <si>
    <t>-177013912</t>
  </si>
  <si>
    <t>-59762444</t>
  </si>
  <si>
    <t>783315103</t>
  </si>
  <si>
    <t>Mezinátěr jednonásobný syntetický samozákladující zámečnických konstrukcí</t>
  </si>
  <si>
    <t>-928141446</t>
  </si>
  <si>
    <t>Mezinátěr zámečnických konstrukcí jednonásobný syntetický samozákladující</t>
  </si>
  <si>
    <t>https://podminky.urs.cz/item/CS_URS_2022_02/783315103</t>
  </si>
  <si>
    <t>783347101</t>
  </si>
  <si>
    <t>Krycí jednonásobný polyuretanový nátěr zámečnických konstrukcí</t>
  </si>
  <si>
    <t>-1209154094</t>
  </si>
  <si>
    <t>Krycí nátěr (email) zámečnických konstrukcí jednonásobný polyuretanový</t>
  </si>
  <si>
    <t>https://podminky.urs.cz/item/CS_URS_2022_02/783347101</t>
  </si>
  <si>
    <t>nátěr zárubní</t>
  </si>
  <si>
    <t>0,4*(1,4+2,1*2)*3</t>
  </si>
  <si>
    <t>0,25*4,9+0,25*4,7</t>
  </si>
  <si>
    <t>0,15*4,8</t>
  </si>
  <si>
    <t>0,25*4,9</t>
  </si>
  <si>
    <t>0,25*4,7*2</t>
  </si>
  <si>
    <t>0,15*4,7*5</t>
  </si>
  <si>
    <t>0,3*(2+2,1*2)*2</t>
  </si>
  <si>
    <t>0,4*(1,4+2,0*2)*4</t>
  </si>
  <si>
    <t>0,15*4,9</t>
  </si>
  <si>
    <t>0,25*4,7*5</t>
  </si>
  <si>
    <t>784</t>
  </si>
  <si>
    <t>Dokončovací práce - malby a tapety</t>
  </si>
  <si>
    <t>784111003</t>
  </si>
  <si>
    <t>Oprášení (ometení ) podkladu v místnostech v přes 3,80 do 5,00 m</t>
  </si>
  <si>
    <t>1236359286</t>
  </si>
  <si>
    <t>Oprášení (ometení) podkladu v místnostech výšky přes 3,80 do 5,00 m</t>
  </si>
  <si>
    <t>https://podminky.urs.cz/item/CS_URS_2022_02/784111003</t>
  </si>
  <si>
    <t>784181123</t>
  </si>
  <si>
    <t>Hloubková jednonásobná bezbarvá penetrace podkladu v místnostech v přes 3,80 do 5,00 m</t>
  </si>
  <si>
    <t>1566779137</t>
  </si>
  <si>
    <t>Penetrace podkladu jednonásobná hloubková akrylátová bezbarvá v místnostech výšky přes 3,80 do 5,00 m</t>
  </si>
  <si>
    <t>https://podminky.urs.cz/item/CS_URS_2022_02/784181123</t>
  </si>
  <si>
    <t>2195,644</t>
  </si>
  <si>
    <t>5,6</t>
  </si>
  <si>
    <t>784191003</t>
  </si>
  <si>
    <t>Čištění vnitřních ploch oken dvojitých nebo zdvojených po provedení malířských prací</t>
  </si>
  <si>
    <t>2072944079</t>
  </si>
  <si>
    <t>Čištění vnitřních ploch hrubý úklid po provedení malířských prací omytím oken dvojitých nebo zdvojených</t>
  </si>
  <si>
    <t>https://podminky.urs.cz/item/CS_URS_2022_02/784191003</t>
  </si>
  <si>
    <t>2,4*2,4*(8+6)</t>
  </si>
  <si>
    <t>3,6*2,4*2+2,4*2,4*3+1,8*2,4</t>
  </si>
  <si>
    <t>0,9*0,9*7+0,6*0,9</t>
  </si>
  <si>
    <t>784191005</t>
  </si>
  <si>
    <t>Čištění vnitřních ploch dveří nebo vrat po provedení malířských prací</t>
  </si>
  <si>
    <t>1297337189</t>
  </si>
  <si>
    <t>Čištění vnitřních ploch hrubý úklid po provedení malířských prací omytím dveří nebo vrat</t>
  </si>
  <si>
    <t>https://podminky.urs.cz/item/CS_URS_2022_02/784191005</t>
  </si>
  <si>
    <t>2,5*2,4</t>
  </si>
  <si>
    <t>2,1*2,15*2</t>
  </si>
  <si>
    <t>1,4*2</t>
  </si>
  <si>
    <t>784191007</t>
  </si>
  <si>
    <t>Čištění vnitřních ploch podlah po provedení malířských prací</t>
  </si>
  <si>
    <t>1945761630</t>
  </si>
  <si>
    <t>Čištění vnitřních ploch hrubý úklid po provedení malířských prací omytím podlah</t>
  </si>
  <si>
    <t>https://podminky.urs.cz/item/CS_URS_2022_02/784191007</t>
  </si>
  <si>
    <t>784211103</t>
  </si>
  <si>
    <t>Dvojnásobné bílé malby ze směsí za mokra výborně oděruvzdorných v místnostech v přes 3,80 do 5,00 m</t>
  </si>
  <si>
    <t>-499853499</t>
  </si>
  <si>
    <t>Malby z malířských směsí oděruvzdorných za mokra dvojnásobné, bílé za mokra oděruvzdorné výborně v místnostech výšky přes 3,80 do 5,00 m</t>
  </si>
  <si>
    <t>https://podminky.urs.cz/item/CS_URS_2022_02/784211103</t>
  </si>
  <si>
    <t>cca 1/3 výšky</t>
  </si>
  <si>
    <t>1693,940/3</t>
  </si>
  <si>
    <t>784211113</t>
  </si>
  <si>
    <t>Dvojnásobné bílé malby ze směsí za mokra velmi dobře oděruvzdorných v místnostech v přes 3,80 do 5,00 m</t>
  </si>
  <si>
    <t>-672916188</t>
  </si>
  <si>
    <t>Malby z malířských směsí oděruvzdorných za mokra dvojnásobné, bílé za mokra oděruvzdorné velmi dobře v místnostech výšky přes 3,80 do 5,00 m</t>
  </si>
  <si>
    <t>https://podminky.urs.cz/item/CS_URS_2022_02/784211113</t>
  </si>
  <si>
    <t>stropy</t>
  </si>
  <si>
    <t>16,100+491,100+67,4</t>
  </si>
  <si>
    <t>sokly</t>
  </si>
  <si>
    <t>-564,647</t>
  </si>
  <si>
    <t>5,600</t>
  </si>
  <si>
    <t>784211161</t>
  </si>
  <si>
    <t>Příplatek k cenám 2x maleb ze směsí za mokra oděruvzdorných za barevnou malbu v světlém odstínu</t>
  </si>
  <si>
    <t>-61047277</t>
  </si>
  <si>
    <t>Malby z malířských směsí oděruvzdorných za mokra Příplatek k cenám dvojnásobných maleb za provádění barevné malby tónované na tónovacích automatech, v odstínu světlém</t>
  </si>
  <si>
    <t>https://podminky.urs.cz/item/CS_URS_2022_02/784211161</t>
  </si>
  <si>
    <t>786</t>
  </si>
  <si>
    <t>Dokončovací práce - čalounické úpravy</t>
  </si>
  <si>
    <t>786624111</t>
  </si>
  <si>
    <t>Montáž lamelové žaluzie do oken zdvojených dřevěných otevíravých, sklápěcích a vyklápěcích</t>
  </si>
  <si>
    <t>-495246761</t>
  </si>
  <si>
    <t>Montáž zastiňujících žaluzií lamelových do oken zdvojených otevíravých, sklápěcích nebo vyklápěcích dřevěných</t>
  </si>
  <si>
    <t>https://podminky.urs.cz/item/CS_URS_2022_02/786624111</t>
  </si>
  <si>
    <t xml:space="preserve">Poznámka k souboru cen:
1. Cenu-3111 lze použít pro jakýkoli rozměr žaluzie.
</t>
  </si>
  <si>
    <t>2,4*2,4*8+0,9*0,9*5+0,6*0,9</t>
  </si>
  <si>
    <t>3,6*2,42+2,4*2,4</t>
  </si>
  <si>
    <t>2,4*2,4*2+1,8*2,4</t>
  </si>
  <si>
    <t>61124343R</t>
  </si>
  <si>
    <t xml:space="preserve">žaluzie interiérová Al bílá </t>
  </si>
  <si>
    <t>1023477660</t>
  </si>
  <si>
    <t>115,542*1,1 'Přepočtené koeficientem množství</t>
  </si>
  <si>
    <t>998786102</t>
  </si>
  <si>
    <t>Přesun hmot tonážní pro stínění a čalounické úpravy v objektech v přes 6 do 12 m</t>
  </si>
  <si>
    <t>-750181126</t>
  </si>
  <si>
    <t>Přesun hmot pro stínění a čalounické úpravy stanovený z hmotnosti přesunovaného materiálu vodorovná dopravní vzdálenost do 50 m v objektech výšky (hloubky) přes 6 do 12 m</t>
  </si>
  <si>
    <t>https://podminky.urs.cz/item/CS_URS_2022_02/998786102</t>
  </si>
  <si>
    <t>998786181</t>
  </si>
  <si>
    <t>Příplatek k přesunu hmot tonážní 786 prováděný bez použití mechanizace</t>
  </si>
  <si>
    <t>-724262036</t>
  </si>
  <si>
    <t>Přesun hmot pro stínění a čalounické úpravy stanovený z hmotnosti přesunovaného materiálu Příplatek k cenám za přesun prováděný bez použití mechanizace pro jakoukoliv výšku objektu</t>
  </si>
  <si>
    <t>https://podminky.urs.cz/item/CS_URS_2022_02/998786181</t>
  </si>
  <si>
    <t>Práce a dodávky M</t>
  </si>
  <si>
    <t>33-M</t>
  </si>
  <si>
    <t>Montáže dopr.zaříz.,sklad. zař. a váh</t>
  </si>
  <si>
    <t>D+M výtah včetně opláštění šachty</t>
  </si>
  <si>
    <t>-589170908</t>
  </si>
  <si>
    <t>-34033144</t>
  </si>
  <si>
    <t>přípomoci</t>
  </si>
  <si>
    <t>011434000</t>
  </si>
  <si>
    <t>Měření (monitoring) hlukové hladiny</t>
  </si>
  <si>
    <t>…</t>
  </si>
  <si>
    <t>-2097531521</t>
  </si>
  <si>
    <t>https://podminky.urs.cz/item/CS_URS_2022_02/011434000</t>
  </si>
  <si>
    <t>měření doby dozvuku dle ČSN 73 0527</t>
  </si>
  <si>
    <t>E15 - Vyrovnání terénu po odstraněném bazénu, okapové chodníčky, ozelenění</t>
  </si>
  <si>
    <t xml:space="preserve">    5 - Komunikace pozemní</t>
  </si>
  <si>
    <t>162251122</t>
  </si>
  <si>
    <t>Vodorovné přemístění přes 20 do 50 m výkopku/sypaniny z horniny třídy těžitelnosti II skupiny 4 a 5</t>
  </si>
  <si>
    <t>13502664</t>
  </si>
  <si>
    <t>Vodorovné přemístění výkopku nebo sypaniny po suchu na obvyklém dopravním prostředku, bez naložení výkopku, avšak se složením bez rozhrnutí z horniny třídy těžitelnosti II skupiny 4 a 5 na vzdálenost přes 20 do 50 m</t>
  </si>
  <si>
    <t>https://podminky.urs.cz/item/CS_URS_2022_02/162251122</t>
  </si>
  <si>
    <t>-1984971505</t>
  </si>
  <si>
    <t>1575798183</t>
  </si>
  <si>
    <t>60,75*10 'Přepočtené koeficientem množství</t>
  </si>
  <si>
    <t>167151111</t>
  </si>
  <si>
    <t>Nakládání výkopku z hornin třídy těžitelnosti I skupiny 1 až 3 přes 100 m3</t>
  </si>
  <si>
    <t>174068489</t>
  </si>
  <si>
    <t>Nakládání, skládání a překládání neulehlého výkopku nebo sypaniny strojně nakládání, množství přes 100 m3, z hornin třídy těžitelnosti I, skupiny 1 až 3</t>
  </si>
  <si>
    <t>https://podminky.urs.cz/item/CS_URS_2022_02/167151111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</si>
  <si>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</si>
  <si>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405*0,15</t>
  </si>
  <si>
    <t>10321225</t>
  </si>
  <si>
    <t>substrát vegetačních střech extenzivní s nízkým obsahem organické složky</t>
  </si>
  <si>
    <t>1657205678</t>
  </si>
  <si>
    <t>167151112</t>
  </si>
  <si>
    <t>Nakládání výkopku z hornin třídy těžitelnosti II skupiny 4 a 5 přes 100 m3</t>
  </si>
  <si>
    <t>1871434265</t>
  </si>
  <si>
    <t>Nakládání, skládání a překládání neulehlého výkopku nebo sypaniny strojně nakládání, množství přes 100 m3, z hornin třídy těžitelnosti II, skupiny 4 a 5</t>
  </si>
  <si>
    <t>https://podminky.urs.cz/item/CS_URS_2022_02/167151112</t>
  </si>
  <si>
    <t>171151112</t>
  </si>
  <si>
    <t>Uložení sypaniny z hornin nesoudržných kamenitých do násypů zhutněných strojně</t>
  </si>
  <si>
    <t>-1687840994</t>
  </si>
  <si>
    <t>Uložení sypanin do násypů strojně s rozprostřením sypaniny ve vrstvách a s hrubým urovnáním zhutněných z hornin nesoudržných kamenitých</t>
  </si>
  <si>
    <t>https://podminky.urs.cz/item/CS_URS_2022_02/171151112</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</si>
  <si>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</si>
  <si>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zásyp bouraného bazénu</t>
  </si>
  <si>
    <t>1,2*27*15</t>
  </si>
  <si>
    <t>181351103</t>
  </si>
  <si>
    <t>Rozprostření ornice tl vrstvy do 200 mm pl přes 100 do 500 m2 v rovině nebo ve svahu do 1:5 strojně</t>
  </si>
  <si>
    <t>389820374</t>
  </si>
  <si>
    <t>Rozprostření a urovnání ornice v rovině nebo ve svahu sklonu do 1:5 strojně při souvislé ploše přes 100 do 500 m2, tl. vrstvy do 200 mm</t>
  </si>
  <si>
    <t>https://podminky.urs.cz/item/CS_URS_2022_02/181351103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</si>
  <si>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</si>
  <si>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181411131</t>
  </si>
  <si>
    <t>Založení parkového trávníku výsevem pl do 1000 m2 v rovině a ve svahu do 1:5</t>
  </si>
  <si>
    <t>-975795106</t>
  </si>
  <si>
    <t>Založení trávníku na půdě předem připravené plochy do 1000 m2 výsevem včetně utažení parkového v rovině nebo na svahu do 1:5</t>
  </si>
  <si>
    <t>https://podminky.urs.cz/item/CS_URS_2022_02/181411131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</si>
  <si>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</si>
  <si>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</si>
  <si>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</si>
  <si>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-108466373</t>
  </si>
  <si>
    <t>405*0,015 'Přepočtené koeficientem množství</t>
  </si>
  <si>
    <t>181951112</t>
  </si>
  <si>
    <t>Úprava pláně v hornině třídy těžitelnosti I skupiny 1 až 3 se zhutněním strojně</t>
  </si>
  <si>
    <t>1180152236</t>
  </si>
  <si>
    <t>Úprava pláně vyrovnáním výškových rozdílů strojně v hornině třídy těžitelnosti I, skupiny 1 až 3 se zhutněním</t>
  </si>
  <si>
    <t>https://podminky.urs.cz/item/CS_URS_2022_02/181951112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</si>
  <si>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</si>
  <si>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181951114</t>
  </si>
  <si>
    <t>Úprava pláně v hornině třídy těžitelnosti II skupiny 4 a 5 se zhutněním strojně</t>
  </si>
  <si>
    <t>1162614185</t>
  </si>
  <si>
    <t>Úprava pláně vyrovnáním výškových rozdílů strojně v hornině třídy těžitelnosti II, skupiny 4 a 5 se zhutněním</t>
  </si>
  <si>
    <t>https://podminky.urs.cz/item/CS_URS_2022_02/181951114</t>
  </si>
  <si>
    <t>Komunikace pozemní</t>
  </si>
  <si>
    <t>564851111</t>
  </si>
  <si>
    <t>Podklad ze štěrkodrtě ŠD plochy přes 100 m2 tl 150 mm</t>
  </si>
  <si>
    <t>567509673</t>
  </si>
  <si>
    <t>Podklad ze štěrkodrti ŠD s rozprostřením a zhutněním plochy přes 100 m2, po zhutnění tl. 150 mm</t>
  </si>
  <si>
    <t>https://podminky.urs.cz/item/CS_URS_2022_02/564851111</t>
  </si>
  <si>
    <t>564931212</t>
  </si>
  <si>
    <t>Podklad z cihelného recyklátu plochy přes 100 m2 tl 100 mm</t>
  </si>
  <si>
    <t>-777164996</t>
  </si>
  <si>
    <t>Podklad nebo podsyp z cihelného recyklátu s rozprostřením a zhutněním plochy přes 100 m2, po zhutnění tl. 100 mm</t>
  </si>
  <si>
    <t>https://podminky.urs.cz/item/CS_URS_2022_02/564931212</t>
  </si>
  <si>
    <t>27*15</t>
  </si>
  <si>
    <t>564961215</t>
  </si>
  <si>
    <t>Podklad z cihelného recyklátu plochy přes 100 m2 tl 200 mm</t>
  </si>
  <si>
    <t>1833683218</t>
  </si>
  <si>
    <t>Podklad nebo podsyp z cihelného recyklátu s rozprostřením a zhutněním plochy přes 100 m2, po zhutnění tl. 200 mm</t>
  </si>
  <si>
    <t>https://podminky.urs.cz/item/CS_URS_2022_02/564961215</t>
  </si>
  <si>
    <t>637211311</t>
  </si>
  <si>
    <t>Okapový chodník z betonových vymývaných dlaždic do tl 50 mm na MC 10</t>
  </si>
  <si>
    <t>-1333443442</t>
  </si>
  <si>
    <t>Okapový chodník z dlaždic betonových vymývaných s vyplněním spár drobným kamenivem, tl. dlaždic do 50 mm do cementové malty MC-10</t>
  </si>
  <si>
    <t>https://podminky.urs.cz/item/CS_URS_2022_02/637211311</t>
  </si>
  <si>
    <t>0,5*2,0+33,7</t>
  </si>
  <si>
    <t>637211911</t>
  </si>
  <si>
    <t>Příplatek k okapovém chodníku za zalévání spár asfaltem podél budovy</t>
  </si>
  <si>
    <t>-2015138041</t>
  </si>
  <si>
    <t>Okapový chodník z dlaždic Příplatek k cenám za zalévání asfaltem při provádění okapového chodníčku z dlaždic nebo u betonové nové mazaniny podél budovy</t>
  </si>
  <si>
    <t>https://podminky.urs.cz/item/CS_URS_2022_02/637211911</t>
  </si>
  <si>
    <t>637311131</t>
  </si>
  <si>
    <t>Okapový chodník z betonových záhonových obrubníků lože beton</t>
  </si>
  <si>
    <t>-1725019010</t>
  </si>
  <si>
    <t>Okapový chodník z obrubníků betonových zahradních, se zalitím spár cementovou maltou do lože z betonu prostého</t>
  </si>
  <si>
    <t>https://podminky.urs.cz/item/CS_URS_2022_02/637311131</t>
  </si>
  <si>
    <t>45,9+3,9+0,5+2</t>
  </si>
  <si>
    <t>998017001</t>
  </si>
  <si>
    <t>Přesun hmot s omezením mechanizace pro budovy v do 6 m</t>
  </si>
  <si>
    <t>2087628256</t>
  </si>
  <si>
    <t>Přesun hmot pro budovy občanské výstavby, bydlení, výrobu a služby s omezením mechanizace vodorovná dopravní vzdálenost do 100 m pro budovy s jakoukoliv nosnou konstrukcí výšky do 6 m</t>
  </si>
  <si>
    <t>https://podminky.urs.cz/item/CS_URS_2022_02/998017001</t>
  </si>
  <si>
    <t>SO 2 - UT</t>
  </si>
  <si>
    <t xml:space="preserve">    735 - Ústřední vytápění - otopná tělesa</t>
  </si>
  <si>
    <t>735</t>
  </si>
  <si>
    <t>Ústřední vytápění - otopná tělesa</t>
  </si>
  <si>
    <t>vytápění - viz příloha</t>
  </si>
  <si>
    <t>893219345</t>
  </si>
  <si>
    <t>PU</t>
  </si>
  <si>
    <t>požární ucpávky</t>
  </si>
  <si>
    <t>863465541</t>
  </si>
  <si>
    <t>X103</t>
  </si>
  <si>
    <t>otopná tělesa opatřena ochrannými kryty dl. do 1,0m</t>
  </si>
  <si>
    <t>-1756910728</t>
  </si>
  <si>
    <t>X104</t>
  </si>
  <si>
    <t>otopná tělesa opatřena ochrannými kryty dl. do 1,4-2,3m</t>
  </si>
  <si>
    <t>2139307157</t>
  </si>
  <si>
    <t>X105</t>
  </si>
  <si>
    <t>prostupy jádrovým vrtáním</t>
  </si>
  <si>
    <t>1318739440</t>
  </si>
  <si>
    <t>1250478399</t>
  </si>
  <si>
    <t>stavební přípomoci</t>
  </si>
  <si>
    <t>SO 3 - elektroinstalace</t>
  </si>
  <si>
    <t>E</t>
  </si>
  <si>
    <t>elektroinstalace - viz příloha</t>
  </si>
  <si>
    <t>1689086996</t>
  </si>
  <si>
    <t>-357259171</t>
  </si>
  <si>
    <t>14389836</t>
  </si>
  <si>
    <t>1214130011</t>
  </si>
  <si>
    <t>SO 4 - ZTI</t>
  </si>
  <si>
    <t xml:space="preserve">    8 - Trubní vedení</t>
  </si>
  <si>
    <t xml:space="preserve">    726 - Zdravotechnika - předstěnové instalace</t>
  </si>
  <si>
    <t xml:space="preserve">    727 - Zdravotechnika - požární ochrana</t>
  </si>
  <si>
    <t xml:space="preserve">    732 - Ústřední vytápění - strojovny</t>
  </si>
  <si>
    <t>132251101</t>
  </si>
  <si>
    <t>Hloubení rýh nezapažených š do 800 mm v hornině třídy těžitelnosti I skupiny 3 objem do 20 m3 strojně</t>
  </si>
  <si>
    <t>-1156515108</t>
  </si>
  <si>
    <t>Hloubení nezapažených rýh šířky do 800 mm strojně s urovnáním dna do předepsaného profilu a spádu v hornině třídy těžitelnosti I skupiny 3 do 20 m3</t>
  </si>
  <si>
    <t>https://podminky.urs.cz/item/CS_URS_2022_02/132251101</t>
  </si>
  <si>
    <t xml:space="preserve">Poznámka k souboru cen:
1. V cenách jsou započteny i náklady na přehození výkopku na přilehlém terénu na vzdálenost do 3 m od podélné osy rýhy nebo naložení na dopravní prostředek.
</t>
  </si>
  <si>
    <t>-1076298439</t>
  </si>
  <si>
    <t>2038576445</t>
  </si>
  <si>
    <t>2,2*5 'Přepočtené koeficientem množství</t>
  </si>
  <si>
    <t>1523818090</t>
  </si>
  <si>
    <t>2,2*1,8 'Přepočtené koeficientem množství</t>
  </si>
  <si>
    <t>1777795213</t>
  </si>
  <si>
    <t>174151101</t>
  </si>
  <si>
    <t>Zásyp jam, šachet rýh nebo kolem objektů sypaninou se zhutněním</t>
  </si>
  <si>
    <t>-2049051523</t>
  </si>
  <si>
    <t>Zásyp sypaninou z jakékoliv horniny strojně s uložením výkopku ve vrstvách se zhutněním jam, šachet, rýh nebo kolem objektů v těchto vykopávkách</t>
  </si>
  <si>
    <t>https://podminky.urs.cz/item/CS_URS_2022_02/174151101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</si>
  <si>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</si>
  <si>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18-2,2</t>
  </si>
  <si>
    <t>175111101</t>
  </si>
  <si>
    <t>Obsypání potrubí ručně sypaninou bez prohození, uloženou do 3 m</t>
  </si>
  <si>
    <t>2056661554</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</si>
  <si>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</si>
  <si>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https://podminky.urs.cz/item/CS_URS_2022_02/175111101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</si>
  <si>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</si>
  <si>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2,2-1,12</t>
  </si>
  <si>
    <t>58331200</t>
  </si>
  <si>
    <t>štěrkopísek netříděný</t>
  </si>
  <si>
    <t>1353975962</t>
  </si>
  <si>
    <t>štěrkopísek netříděný zásypový</t>
  </si>
  <si>
    <t>1,08*2 'Přepočtené koeficientem množství</t>
  </si>
  <si>
    <t>451573111</t>
  </si>
  <si>
    <t>Lože pod potrubí otevřený výkop ze štěrkopísku</t>
  </si>
  <si>
    <t>-1351548375</t>
  </si>
  <si>
    <t>Lože pod potrubí, stoky a drobné objekty v otevřeném výkopu z písku a štěrkopísku do 63 mm</t>
  </si>
  <si>
    <t>https://podminky.urs.cz/item/CS_URS_2022_02/451573111</t>
  </si>
  <si>
    <t xml:space="preserve">Poznámka k souboru cen:
1. Ceny -1111 a -1192 lze použít i pro zřízení sběrných vrstev nad drenážními trubkami.
2. V cenách -5111 a -1192 jsou započteny i náklady na prohození výkopku získaného při zemních pracích.
</t>
  </si>
  <si>
    <t>0,8*0,1*14</t>
  </si>
  <si>
    <t>Trubní vedení</t>
  </si>
  <si>
    <t>899721111</t>
  </si>
  <si>
    <t>Signalizační vodič DN do 150 mm na potrubí</t>
  </si>
  <si>
    <t>1463901588</t>
  </si>
  <si>
    <t>Signalizační vodič na potrubí DN do 150 mm</t>
  </si>
  <si>
    <t>https://podminky.urs.cz/item/CS_URS_2022_02/899721111</t>
  </si>
  <si>
    <t>899722113</t>
  </si>
  <si>
    <t>Krytí potrubí z plastů výstražnou fólií z PVC 34cm</t>
  </si>
  <si>
    <t>-1778618896</t>
  </si>
  <si>
    <t>Krytí potrubí z plastů výstražnou fólií z PVC šířky 34 cm</t>
  </si>
  <si>
    <t>https://podminky.urs.cz/item/CS_URS_2022_02/899722113</t>
  </si>
  <si>
    <t>953942426</t>
  </si>
  <si>
    <t>Osazování podpěr nástěnných skříněk</t>
  </si>
  <si>
    <t>1208374472</t>
  </si>
  <si>
    <t>Osazování drobných kovových předmětů se zalitím maltou cementovou, do vysekaných kapes nebo připravených otvorů podpěr, pro nástěnné skříňky v kuchyních jakékoliv velikosti</t>
  </si>
  <si>
    <t>https://podminky.urs.cz/item/CS_URS_2022_02/953942426</t>
  </si>
  <si>
    <t>AZP.NZR4INV</t>
  </si>
  <si>
    <t>nerezové sklopné zrcadlo (i pro tělesně postižené), 405 x 625 mm</t>
  </si>
  <si>
    <t>-634501377</t>
  </si>
  <si>
    <t>966668008</t>
  </si>
  <si>
    <t>-106068813</t>
  </si>
  <si>
    <t>721173403</t>
  </si>
  <si>
    <t>Potrubí kanalizační z PVC SN 4 svodné DN 160</t>
  </si>
  <si>
    <t>1320776667</t>
  </si>
  <si>
    <t>Potrubí z trub PVC SN4 svodné (ležaté) DN 160</t>
  </si>
  <si>
    <t>https://podminky.urs.cz/item/CS_URS_2022_02/721173403</t>
  </si>
  <si>
    <t xml:space="preserve">Poznámka k souboru cen:
1. Cenami -3315 až -3317 se oceňuje svislé potrubí od střešního vtoku po čisticí kus.
</t>
  </si>
  <si>
    <t>13,4+1,4</t>
  </si>
  <si>
    <t>721174004</t>
  </si>
  <si>
    <t>Potrubí kanalizační z PP svodné DN 75</t>
  </si>
  <si>
    <t>362980586</t>
  </si>
  <si>
    <t>Potrubí z trub polypropylenových svodné (ležaté) DN 75</t>
  </si>
  <si>
    <t>https://podminky.urs.cz/item/CS_URS_2022_02/721174004</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</si>
  <si>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</si>
  <si>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721174006</t>
  </si>
  <si>
    <t>Potrubí kanalizační z PP svodné DN 125</t>
  </si>
  <si>
    <t>-807441386</t>
  </si>
  <si>
    <t>Potrubí z trub polypropylenových svodné (ležaté) DN 125</t>
  </si>
  <si>
    <t>https://podminky.urs.cz/item/CS_URS_2022_02/721174006</t>
  </si>
  <si>
    <t>721174007</t>
  </si>
  <si>
    <t>Potrubí kanalizační z PP svodné DN 160</t>
  </si>
  <si>
    <t>-183366858</t>
  </si>
  <si>
    <t>Potrubí z trub polypropylenových svodné (ležaté) DN 160</t>
  </si>
  <si>
    <t>https://podminky.urs.cz/item/CS_URS_2022_02/721174007</t>
  </si>
  <si>
    <t>721174024</t>
  </si>
  <si>
    <t>Potrubí kanalizační z PP odpadní DN 75</t>
  </si>
  <si>
    <t>2076018184</t>
  </si>
  <si>
    <t>Potrubí z trub polypropylenových odpadní (svislé) DN 75</t>
  </si>
  <si>
    <t>https://podminky.urs.cz/item/CS_URS_2022_02/721174024</t>
  </si>
  <si>
    <t>721174025</t>
  </si>
  <si>
    <t>Potrubí kanalizační z PP odpadní DN 110</t>
  </si>
  <si>
    <t>1069356242</t>
  </si>
  <si>
    <t>Potrubí z trub polypropylenových odpadní (svislé) DN 110</t>
  </si>
  <si>
    <t>https://podminky.urs.cz/item/CS_URS_2022_02/721174025</t>
  </si>
  <si>
    <t>721174026</t>
  </si>
  <si>
    <t>Potrubí kanalizační z PP odpadní DN 125</t>
  </si>
  <si>
    <t>-85867113</t>
  </si>
  <si>
    <t>Potrubí z trub polypropylenových odpadní (svislé) DN 125</t>
  </si>
  <si>
    <t>https://podminky.urs.cz/item/CS_URS_2022_02/721174026</t>
  </si>
  <si>
    <t>721174042</t>
  </si>
  <si>
    <t>Potrubí kanalizační z PP připojovací DN 40</t>
  </si>
  <si>
    <t>-58867049</t>
  </si>
  <si>
    <t>Potrubí z trub polypropylenových připojovací DN 40</t>
  </si>
  <si>
    <t>https://podminky.urs.cz/item/CS_URS_2022_02/721174042</t>
  </si>
  <si>
    <t>721174043</t>
  </si>
  <si>
    <t>Potrubí kanalizační z PP připojovací DN 50</t>
  </si>
  <si>
    <t>2020567220</t>
  </si>
  <si>
    <t>Potrubí z trub polypropylenových připojovací DN 50</t>
  </si>
  <si>
    <t>https://podminky.urs.cz/item/CS_URS_2022_02/721174043</t>
  </si>
  <si>
    <t>721174045</t>
  </si>
  <si>
    <t>Potrubí kanalizační z PP připojovací DN 110</t>
  </si>
  <si>
    <t>-145866383</t>
  </si>
  <si>
    <t>Potrubí z trub polypropylenových připojovací DN 110</t>
  </si>
  <si>
    <t>https://podminky.urs.cz/item/CS_URS_2022_02/721174045</t>
  </si>
  <si>
    <t>721174055</t>
  </si>
  <si>
    <t>Potrubí kanalizační z PP dešťové DN 110</t>
  </si>
  <si>
    <t>1389655513</t>
  </si>
  <si>
    <t>Potrubí z trub polypropylenových dešťové DN 110</t>
  </si>
  <si>
    <t>https://podminky.urs.cz/item/CS_URS_2022_02/721174055</t>
  </si>
  <si>
    <t>1,0*2+9,6</t>
  </si>
  <si>
    <t>721174057</t>
  </si>
  <si>
    <t>Potrubí kanalizační z PP dešťové DN 160</t>
  </si>
  <si>
    <t>-1996763020</t>
  </si>
  <si>
    <t>Potrubí z trub polypropylenových dešťové DN 160</t>
  </si>
  <si>
    <t>https://podminky.urs.cz/item/CS_URS_2022_02/721174057</t>
  </si>
  <si>
    <t>4,2+2,0+4,45</t>
  </si>
  <si>
    <t>721174062</t>
  </si>
  <si>
    <t>Potrubí kanalizační z PP větrací DN 75</t>
  </si>
  <si>
    <t>-1915520380</t>
  </si>
  <si>
    <t>Potrubí z trub polypropylenových větrací DN 75</t>
  </si>
  <si>
    <t>https://podminky.urs.cz/item/CS_URS_2022_02/721174062</t>
  </si>
  <si>
    <t>721174064</t>
  </si>
  <si>
    <t>Potrubí kanalizační z PP větrací DN 125</t>
  </si>
  <si>
    <t>2669872</t>
  </si>
  <si>
    <t>Potrubí z trub polypropylenových větrací DN 125</t>
  </si>
  <si>
    <t>https://podminky.urs.cz/item/CS_URS_2022_02/721174064</t>
  </si>
  <si>
    <t>721273152</t>
  </si>
  <si>
    <t>Hlavice ventilační polypropylen PP DN 75</t>
  </si>
  <si>
    <t>-488324768</t>
  </si>
  <si>
    <t>Ventilační hlavice z polypropylenu (PP) DN 75</t>
  </si>
  <si>
    <t>https://podminky.urs.cz/item/CS_URS_2022_02/721273152</t>
  </si>
  <si>
    <t>721273153</t>
  </si>
  <si>
    <t>Hlavice ventilační polypropylen PP DN 110</t>
  </si>
  <si>
    <t>169330464</t>
  </si>
  <si>
    <t>Ventilační hlavice z polypropylenu (PP) DN 110</t>
  </si>
  <si>
    <t>https://podminky.urs.cz/item/CS_URS_2022_02/721273153</t>
  </si>
  <si>
    <t>721290111</t>
  </si>
  <si>
    <t>Zkouška těsnosti potrubí kanalizace vodou DN do 125</t>
  </si>
  <si>
    <t>367689786</t>
  </si>
  <si>
    <t>Zkouška těsnosti kanalizace v objektech vodou do DN 125</t>
  </si>
  <si>
    <t>https://podminky.urs.cz/item/CS_URS_2022_02/721290111</t>
  </si>
  <si>
    <t>721290112</t>
  </si>
  <si>
    <t>Zkouška těsnosti potrubí kanalizace vodou DN 150/DN 200</t>
  </si>
  <si>
    <t>316503057</t>
  </si>
  <si>
    <t>Zkouška těsnosti kanalizace v objektech vodou DN 150 nebo DN 200</t>
  </si>
  <si>
    <t>https://podminky.urs.cz/item/CS_URS_2022_02/721290112</t>
  </si>
  <si>
    <t>499792363</t>
  </si>
  <si>
    <t>217136058</t>
  </si>
  <si>
    <t>28615602</t>
  </si>
  <si>
    <t>čistící tvarovka odpadní PP DN 75 pro vysoké teploty</t>
  </si>
  <si>
    <t>295863053</t>
  </si>
  <si>
    <t>28615604</t>
  </si>
  <si>
    <t>čistící tvarovka odpadní PP DN 125 pro vysoké teploty</t>
  </si>
  <si>
    <t>1703169879</t>
  </si>
  <si>
    <t>28615605</t>
  </si>
  <si>
    <t>čistící tvarovka odpadní PP DN 160 pro vysoké teploty</t>
  </si>
  <si>
    <t>-462575102</t>
  </si>
  <si>
    <t>K1</t>
  </si>
  <si>
    <t>kotvení potrubí</t>
  </si>
  <si>
    <t>-1669604267</t>
  </si>
  <si>
    <t>K2</t>
  </si>
  <si>
    <t>-554279712</t>
  </si>
  <si>
    <t>722174002</t>
  </si>
  <si>
    <t>Potrubí vodovodní plastové PPR svar polyfúze PN 16 D 20x2,8 mm</t>
  </si>
  <si>
    <t>1489348057</t>
  </si>
  <si>
    <t>Potrubí z plastových trubek z polypropylenu PPR svařovaných polyfúzně PN 16 (SDR 7,4) D 20 x 2,8</t>
  </si>
  <si>
    <t>https://podminky.urs.cz/item/CS_URS_2022_02/722174002</t>
  </si>
  <si>
    <t>722174003</t>
  </si>
  <si>
    <t>Potrubí vodovodní plastové PPR svar polyfúze PN 16 D 25x3,5 mm</t>
  </si>
  <si>
    <t>609769730</t>
  </si>
  <si>
    <t>Potrubí z plastových trubek z polypropylenu PPR svařovaných polyfúzně PN 16 (SDR 7,4) D 25 x 3,5</t>
  </si>
  <si>
    <t>https://podminky.urs.cz/item/CS_URS_2022_02/722174003</t>
  </si>
  <si>
    <t>722174004</t>
  </si>
  <si>
    <t>Potrubí vodovodní plastové PPR svar polyfúze PN 16 D 32x4,4 mm</t>
  </si>
  <si>
    <t>-898241824</t>
  </si>
  <si>
    <t>Potrubí z plastových trubek z polypropylenu PPR svařovaných polyfúzně PN 16 (SDR 7,4) D 32 x 4,4</t>
  </si>
  <si>
    <t>https://podminky.urs.cz/item/CS_URS_2022_02/722174004</t>
  </si>
  <si>
    <t>722174005</t>
  </si>
  <si>
    <t>Potrubí vodovodní plastové PPR svar polyfúze PN 16 D 40x5,5 mm</t>
  </si>
  <si>
    <t>768299636</t>
  </si>
  <si>
    <t>Potrubí z plastových trubek z polypropylenu PPR svařovaných polyfúzně PN 16 (SDR 7,4) D 40 x 5,5</t>
  </si>
  <si>
    <t>https://podminky.urs.cz/item/CS_URS_2022_02/722174005</t>
  </si>
  <si>
    <t>722174022</t>
  </si>
  <si>
    <t>Potrubí vodovodní plastové PPR svar polyfúze PN 20 D 20x3,4 mm</t>
  </si>
  <si>
    <t>-1807302613</t>
  </si>
  <si>
    <t>Potrubí z plastových trubek z polypropylenu PPR svařovaných polyfúzně PN 20 (SDR 6) D 20 x 3,4</t>
  </si>
  <si>
    <t>https://podminky.urs.cz/item/CS_URS_2022_02/722174022</t>
  </si>
  <si>
    <t>722174023</t>
  </si>
  <si>
    <t>Potrubí vodovodní plastové PPR svar polyfúze PN 20 D 25x4,2 mm</t>
  </si>
  <si>
    <t>-323913822</t>
  </si>
  <si>
    <t>Potrubí z plastových trubek z polypropylenu PPR svařovaných polyfúzně PN 20 (SDR 6) D 25 x 4,2</t>
  </si>
  <si>
    <t>https://podminky.urs.cz/item/CS_URS_2022_02/722174023</t>
  </si>
  <si>
    <t>722174024</t>
  </si>
  <si>
    <t>Potrubí vodovodní plastové PPR svar polyfúze PN 20 D 32x5,4 mm</t>
  </si>
  <si>
    <t>-851684008</t>
  </si>
  <si>
    <t>Potrubí z plastových trubek z polypropylenu PPR svařovaných polyfúzně PN 20 (SDR 6) D 32 x 5,4</t>
  </si>
  <si>
    <t>https://podminky.urs.cz/item/CS_URS_2022_02/722174024</t>
  </si>
  <si>
    <t>722174072</t>
  </si>
  <si>
    <t>Potrubí vodovodní plastové kompenzační smyčka PPR svar polyfúze PN 20 D 20x3,4 mm</t>
  </si>
  <si>
    <t>-1189458707</t>
  </si>
  <si>
    <t>Potrubí z plastových trubek z polypropylenu PPR svařovaných polyfúzně kompenzační smyčky na potrubí (PPR) D 20 x 3,4</t>
  </si>
  <si>
    <t>https://podminky.urs.cz/item/CS_URS_2022_02/722174072</t>
  </si>
  <si>
    <t>722174073</t>
  </si>
  <si>
    <t>Potrubí vodovodní plastové kompenzační smyčka PPR svar polyfúze PN 20 D 25x4,2 mm</t>
  </si>
  <si>
    <t>72915395</t>
  </si>
  <si>
    <t>Potrubí z plastových trubek z polypropylenu PPR svařovaných polyfúzně kompenzační smyčky na potrubí (PPR) D 25 x 4,2</t>
  </si>
  <si>
    <t>https://podminky.urs.cz/item/CS_URS_2022_02/722174073</t>
  </si>
  <si>
    <t>722181211</t>
  </si>
  <si>
    <t>Ochrana vodovodního potrubí přilepenými termoizolačními trubicemi z PE tl do 6 mm DN do 22 mm</t>
  </si>
  <si>
    <t>-1349718919</t>
  </si>
  <si>
    <t>Ochrana potrubí termoizolačními trubicemi z pěnového polyetylenu PE přilepenými v příčných a podélných spojích, tloušťky izolace do 6 mm, vnitřního průměru izolace DN do 22 mm</t>
  </si>
  <si>
    <t>https://podminky.urs.cz/item/CS_URS_2022_02/722181211</t>
  </si>
  <si>
    <t xml:space="preserve">Poznámka k souboru cen:
1. V cenách -1211 až -1256 jsou započteny i náklady na dodání tepelně izolačních trubic.
</t>
  </si>
  <si>
    <t>722181212</t>
  </si>
  <si>
    <t>Ochrana vodovodního potrubí přilepenými termoizolačními trubicemi z PE tl do 6 mm DN přes 22 do 32 mm</t>
  </si>
  <si>
    <t>314109674</t>
  </si>
  <si>
    <t>Ochrana potrubí termoizolačními trubicemi z pěnového polyetylenu PE přilepenými v příčných a podélných spojích, tloušťky izolace do 6 mm, vnitřního průměru izolace DN přes 22 do 32 mm</t>
  </si>
  <si>
    <t>https://podminky.urs.cz/item/CS_URS_2022_02/722181212</t>
  </si>
  <si>
    <t>722181213</t>
  </si>
  <si>
    <t>Ochrana vodovodního potrubí přilepenými termoizolačními trubicemi z PE tl do 6 mm DN přes 32 mm</t>
  </si>
  <si>
    <t>-491825841</t>
  </si>
  <si>
    <t>Ochrana potrubí termoizolačními trubicemi z pěnového polyetylenu PE přilepenými v příčných a podélných spojích, tloušťky izolace do 6 mm, vnitřního průměru izolace DN přes 32 mm</t>
  </si>
  <si>
    <t>https://podminky.urs.cz/item/CS_URS_2022_02/722181213</t>
  </si>
  <si>
    <t>722181241</t>
  </si>
  <si>
    <t>Ochrana vodovodního potrubí přilepenými termoizolačními trubicemi z PE tl přes 13 do 20 mm DN do 22 mm</t>
  </si>
  <si>
    <t>1808446630</t>
  </si>
  <si>
    <t>Ochrana potrubí termoizolačními trubicemi z pěnového polyetylenu PE přilepenými v příčných a podélných spojích, tloušťky izolace přes 13 do 20 mm, vnitřního průměru izolace DN do 22 mm</t>
  </si>
  <si>
    <t>https://podminky.urs.cz/item/CS_URS_2022_02/722181241</t>
  </si>
  <si>
    <t>722181252</t>
  </si>
  <si>
    <t>Ochrana vodovodního potrubí přilepenými termoizolačními trubicemi z PE tl přes 20 do 25 mm DN přes 22 do 45 mm</t>
  </si>
  <si>
    <t>-483880168</t>
  </si>
  <si>
    <t>Ochrana potrubí termoizolačními trubicemi z pěnového polyetylenu PE přilepenými v příčných a podélných spojích, tloušťky izolace přes 20 do 25 mm, vnitřního průměru izolace DN přes 22 do 45 mm</t>
  </si>
  <si>
    <t>https://podminky.urs.cz/item/CS_URS_2022_02/722181252</t>
  </si>
  <si>
    <t>722220231</t>
  </si>
  <si>
    <t>Přechodka dGK PPR PN 20 D 20 x G 1/2" s kovovým vnitřním závitem</t>
  </si>
  <si>
    <t>-1183660122</t>
  </si>
  <si>
    <t>Armatury s jedním závitem přechodové tvarovky PPR, PN 20 (SDR 6) s kovovým závitem vnitřním přechodky dGK D 20 x G 1/2"</t>
  </si>
  <si>
    <t>https://podminky.urs.cz/item/CS_URS_2022_02/722220231</t>
  </si>
  <si>
    <t xml:space="preserve">Poznámka k souboru cen:
1. Cenami -9101 až -9108 nelze oceňovat montáž nástěnek.
2. V cenách –0111 až -0122 je započteno i vyvedení a upevnění výpustek.
</t>
  </si>
  <si>
    <t>722220234</t>
  </si>
  <si>
    <t>Přechodka dGK PPR PN 20 D 40 x G 5/4" s kovovým vnitřním závitem</t>
  </si>
  <si>
    <t>1202423098</t>
  </si>
  <si>
    <t>Armatury s jedním závitem přechodové tvarovky PPR, PN 20 (SDR 6) s kovovým závitem vnitřním přechodky dGK D 40 x G 5/4"</t>
  </si>
  <si>
    <t>https://podminky.urs.cz/item/CS_URS_2022_02/722220234</t>
  </si>
  <si>
    <t>722232043</t>
  </si>
  <si>
    <t>Kohout kulový přímý G 1/2" PN 42 do 185°C vnitřní závit</t>
  </si>
  <si>
    <t>119056549</t>
  </si>
  <si>
    <t>Armatury se dvěma závity kulové kohouty PN 42 do 185 °C přímé vnitřní závit G 1/2"</t>
  </si>
  <si>
    <t>https://podminky.urs.cz/item/CS_URS_2022_02/722232043</t>
  </si>
  <si>
    <t>722232046</t>
  </si>
  <si>
    <t>Kohout kulový přímý G 5/4" PN 42 do 185°C vnitřní závit</t>
  </si>
  <si>
    <t>517691194</t>
  </si>
  <si>
    <t>Armatury se dvěma závity kulové kohouty PN 42 do 185 °C přímé vnitřní závit G 5/4"</t>
  </si>
  <si>
    <t>https://podminky.urs.cz/item/CS_URS_2022_02/722232046</t>
  </si>
  <si>
    <t>722290226</t>
  </si>
  <si>
    <t>Zkouška těsnosti vodovodního potrubí závitového DN do 50</t>
  </si>
  <si>
    <t>861614127</t>
  </si>
  <si>
    <t>Zkoušky, proplach a desinfekce vodovodního potrubí zkoušky těsnosti vodovodního potrubí závitového do DN 50</t>
  </si>
  <si>
    <t>https://podminky.urs.cz/item/CS_URS_2022_02/722290226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</si>
  <si>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</si>
  <si>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</si>
  <si>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DN do 80</t>
  </si>
  <si>
    <t>455484817</t>
  </si>
  <si>
    <t>Zkoušky, proplach a desinfekce vodovodního potrubí proplach a desinfekce vodovodního potrubí do DN 80</t>
  </si>
  <si>
    <t>https://podminky.urs.cz/item/CS_URS_2022_02/722290234</t>
  </si>
  <si>
    <t>998722102</t>
  </si>
  <si>
    <t>Přesun hmot tonážní pro vnitřní vodovod v objektech v přes 6 do 12 m</t>
  </si>
  <si>
    <t>-1373815671</t>
  </si>
  <si>
    <t>Přesun hmot pro vnitřní vodovod stanovený z hmotnosti přesunovaného materiálu vodorovná dopravní vzdálenost do 50 m v objektech výšky přes 6 do 12 m</t>
  </si>
  <si>
    <t>https://podminky.urs.cz/item/CS_URS_2022_02/998722102</t>
  </si>
  <si>
    <t>998722181</t>
  </si>
  <si>
    <t>Příplatek k přesunu hmot tonážní 722 prováděný bez použití mechanizace</t>
  </si>
  <si>
    <t>-1493498307</t>
  </si>
  <si>
    <t>Přesun hmot pro vnitřní vodovod stanovený z hmotnosti přesunovaného materiálu Příplatek k ceně za přesun prováděný bez použití mechanizace pro jakoukoliv výšku objektu</t>
  </si>
  <si>
    <t>https://podminky.urs.cz/item/CS_URS_2022_02/998722181</t>
  </si>
  <si>
    <t>725112022</t>
  </si>
  <si>
    <t>Klozet keramický závěsný na nosné stěny s hlubokým splachováním odpad vodorovný</t>
  </si>
  <si>
    <t>-1899814994</t>
  </si>
  <si>
    <t>Zařízení záchodů klozety keramické závěsné na nosné stěny s hlubokým splachováním odpad vodorovný</t>
  </si>
  <si>
    <t>https://podminky.urs.cz/item/CS_URS_2022_02/725112022</t>
  </si>
  <si>
    <t xml:space="preserve">Poznámka k souboru cen:
1. V cenách -1351, -1361 není započten napájecí zdroj.
2. V cenách jsou započtená klozetová sedátka.
</t>
  </si>
  <si>
    <t>1809899930</t>
  </si>
  <si>
    <t>725113913</t>
  </si>
  <si>
    <t>Přetěsnění manžety</t>
  </si>
  <si>
    <t>-1862133741</t>
  </si>
  <si>
    <t>Opravy zařízení záchodů manžeta přetěsnění</t>
  </si>
  <si>
    <t>https://podminky.urs.cz/item/CS_URS_2022_02/725113913</t>
  </si>
  <si>
    <t>725113914</t>
  </si>
  <si>
    <t>Výměna manžety</t>
  </si>
  <si>
    <t>-226263363</t>
  </si>
  <si>
    <t>Opravy zařízení záchodů manžeta výměna</t>
  </si>
  <si>
    <t>https://podminky.urs.cz/item/CS_URS_2022_02/725113914</t>
  </si>
  <si>
    <t>725121527</t>
  </si>
  <si>
    <t>Pisoárový záchodek automatický s integrovaným napájecím zdrojem</t>
  </si>
  <si>
    <t>-862603285</t>
  </si>
  <si>
    <t>Pisoárové záchodky keramické automatické s integrovaným napájecím zdrojem</t>
  </si>
  <si>
    <t>https://podminky.urs.cz/item/CS_URS_2022_02/725121527</t>
  </si>
  <si>
    <t xml:space="preserve">Poznámka k souboru cen:
1. V cenách –1001, -1521, -1525, -1529, -2002 není započten napájecí zdroj.
2. V cenách -1501 a -1502 není započten ventil na oplach pisoáru.
</t>
  </si>
  <si>
    <t>725211616</t>
  </si>
  <si>
    <t>Umyvadlo keramické bílé šířky 550 mm s krytem na sifon připevněné na stěnu šrouby</t>
  </si>
  <si>
    <t>-79225971</t>
  </si>
  <si>
    <t>Umyvadla keramická bílá bez výtokových armatur připevněná na stěnu šrouby s krytem na sifon (polosloupem), šířka umyvadla 550 mm</t>
  </si>
  <si>
    <t>https://podminky.urs.cz/item/CS_URS_2022_02/725211616</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</si>
  <si>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</si>
  <si>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725211681</t>
  </si>
  <si>
    <t>Umyvadlo keramické bílé zdravotní šířky 640 mm připevněné na stěnu šrouby</t>
  </si>
  <si>
    <t>-1968256960</t>
  </si>
  <si>
    <t>Umyvadla keramická bílá bez výtokových armatur připevněná na stěnu šrouby zdravotní, šířka umyvadla 640 mm</t>
  </si>
  <si>
    <t>https://podminky.urs.cz/item/CS_URS_2022_02/725211681</t>
  </si>
  <si>
    <t>725231203</t>
  </si>
  <si>
    <t>Bidet bez armatur výtokových keramický závěsný se zápachovou uzávěrkou</t>
  </si>
  <si>
    <t>-1738531237</t>
  </si>
  <si>
    <t>Bidety bez výtokových armatur se zápachovou uzávěrkou keramické závěsné</t>
  </si>
  <si>
    <t>https://podminky.urs.cz/item/CS_URS_2022_02/725231203</t>
  </si>
  <si>
    <t>725291703</t>
  </si>
  <si>
    <t>Doplňky zařízení koupelen a záchodů smaltované madlo rovné dl 500 mm</t>
  </si>
  <si>
    <t>-1455776398</t>
  </si>
  <si>
    <t>Doplňky zařízení koupelen a záchodů smaltované madla rovná, délky 500 mm</t>
  </si>
  <si>
    <t>https://podminky.urs.cz/item/CS_URS_2022_02/725291703</t>
  </si>
  <si>
    <t>725291712</t>
  </si>
  <si>
    <t>Doplňky zařízení koupelen a záchodů smaltované madlo krakorcové dl 834 mm</t>
  </si>
  <si>
    <t>-399853532</t>
  </si>
  <si>
    <t>Doplňky zařízení koupelen a záchodů smaltované madla krakorcová, délky 834 mm</t>
  </si>
  <si>
    <t>https://podminky.urs.cz/item/CS_URS_2022_02/725291712</t>
  </si>
  <si>
    <t>725291722</t>
  </si>
  <si>
    <t>Doplňky zařízení koupelen a záchodů smaltované madlo krakorcové sklopné dl 834 mm</t>
  </si>
  <si>
    <t>-406852794</t>
  </si>
  <si>
    <t>Doplňky zařízení koupelen a záchodů smaltované madla krakorcová sklopná, délky 834 mm</t>
  </si>
  <si>
    <t>https://podminky.urs.cz/item/CS_URS_2022_02/725291722</t>
  </si>
  <si>
    <t>725331111</t>
  </si>
  <si>
    <t>Výlevka bez výtokových armatur keramická se sklopnou plastovou mřížkou 500 mm</t>
  </si>
  <si>
    <t>-1223464796</t>
  </si>
  <si>
    <t>Výlevky bez výtokových armatur a splachovací nádrže keramické se sklopnou plastovou mřížkou 425 mm</t>
  </si>
  <si>
    <t>https://podminky.urs.cz/item/CS_URS_2022_02/725331111</t>
  </si>
  <si>
    <t>725811301</t>
  </si>
  <si>
    <t>Ventil tlačný samouzavírací s omezenou dobou výtoku 6 l/min G 1/2"</t>
  </si>
  <si>
    <t>-699892587</t>
  </si>
  <si>
    <t>Ventily nástěnné samouzavírací s omezenou dobou výtoku tlačné G 1/2" (6 l/min)</t>
  </si>
  <si>
    <t>https://podminky.urs.cz/item/CS_URS_2022_02/725811301</t>
  </si>
  <si>
    <t>55190005</t>
  </si>
  <si>
    <t>flexi hadice ohebná k baterii D 8x12mm F 1/2"xM10 500mm</t>
  </si>
  <si>
    <t>1740155228</t>
  </si>
  <si>
    <t>28*0,5</t>
  </si>
  <si>
    <t>725813111</t>
  </si>
  <si>
    <t>Ventil rohový bez připojovací trubičky nebo flexi hadičky G 1/2"</t>
  </si>
  <si>
    <t>1726745506</t>
  </si>
  <si>
    <t>Ventily rohové bez připojovací trubičky nebo flexi hadičky G 1/2"</t>
  </si>
  <si>
    <t>https://podminky.urs.cz/item/CS_URS_2022_02/725813111</t>
  </si>
  <si>
    <t>725822611</t>
  </si>
  <si>
    <t>Baterie umyvadlová stojánková páková bez výpusti</t>
  </si>
  <si>
    <t>173065104</t>
  </si>
  <si>
    <t>Baterie umyvadlové stojánkové pákové bez výpusti</t>
  </si>
  <si>
    <t>https://podminky.urs.cz/item/CS_URS_2022_02/725822611</t>
  </si>
  <si>
    <t xml:space="preserve">Poznámka k souboru cen:
1. V cenách –2654, 56, -9101-9202 není započten napájecí zdroj.
</t>
  </si>
  <si>
    <t>725829121</t>
  </si>
  <si>
    <t>Montáž baterie umyvadlové nástěnné pákové a klasické ostatní typ</t>
  </si>
  <si>
    <t>-53115068</t>
  </si>
  <si>
    <t>Baterie umyvadlové montáž ostatních typů nástěnných pákových nebo klasických</t>
  </si>
  <si>
    <t>https://podminky.urs.cz/item/CS_URS_2022_02/725829121</t>
  </si>
  <si>
    <t>55145692</t>
  </si>
  <si>
    <t>baterie umyvadlová stojánková páková s prodlouženou pákou (lékařská)</t>
  </si>
  <si>
    <t>-1405798458</t>
  </si>
  <si>
    <t>725861102</t>
  </si>
  <si>
    <t>Zápachová uzávěrka pro umyvadla DN 40</t>
  </si>
  <si>
    <t>-1996937241</t>
  </si>
  <si>
    <t>Zápachové uzávěrky zařizovacích předmětů pro umyvadla DN 40</t>
  </si>
  <si>
    <t>https://podminky.urs.cz/item/CS_URS_2022_02/725861102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</si>
  <si>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</si>
  <si>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725865411</t>
  </si>
  <si>
    <t>Zápachová uzávěrka pisoárová DN 32/40</t>
  </si>
  <si>
    <t>851059154</t>
  </si>
  <si>
    <t>Zápachové uzávěrky zařizovacích předmětů pro pisoáry DN 32/40</t>
  </si>
  <si>
    <t>https://podminky.urs.cz/item/CS_URS_2022_02/725865411</t>
  </si>
  <si>
    <t>998725102</t>
  </si>
  <si>
    <t>Přesun hmot tonážní pro zařizovací předměty v objektech v přes 6 do 12 m</t>
  </si>
  <si>
    <t>-815854265</t>
  </si>
  <si>
    <t>Přesun hmot pro zařizovací předměty stanovený z hmotnosti přesunovaného materiálu vodorovná dopravní vzdálenost do 50 m v objektech výšky přes 6 do 12 m</t>
  </si>
  <si>
    <t>https://podminky.urs.cz/item/CS_URS_2022_02/998725102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</si>
  <si>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</si>
  <si>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998725181</t>
  </si>
  <si>
    <t>Příplatek k přesunu hmot tonážní 725 prováděný bez použití mechanizace</t>
  </si>
  <si>
    <t>-270082575</t>
  </si>
  <si>
    <t>Přesun hmot pro zařizovací předměty stanovený z hmotnosti přesunovaného materiálu Příplatek k cenám za přesun prováděný bez použití mechanizace pro jakoukoliv výšku objektu</t>
  </si>
  <si>
    <t>https://podminky.urs.cz/item/CS_URS_2022_02/998725181</t>
  </si>
  <si>
    <t>726</t>
  </si>
  <si>
    <t>Zdravotechnika - předstěnové instalace</t>
  </si>
  <si>
    <t>726131011</t>
  </si>
  <si>
    <t>Instalační předstěna - bidet v 1120 mm do lehkých stěn s kovovou kcí</t>
  </si>
  <si>
    <t>1463730197</t>
  </si>
  <si>
    <t>Předstěnové instalační systémy do lehkých stěn s kovovou konstrukcí pro bidety stavební výška 1120 mm</t>
  </si>
  <si>
    <t>https://podminky.urs.cz/item/CS_URS_2022_02/726131011</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</si>
  <si>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</si>
  <si>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726131041</t>
  </si>
  <si>
    <t>Instalační předstěna - klozet závěsný v 1120 mm s ovládáním zepředu do lehkých stěn s kovovou kcí</t>
  </si>
  <si>
    <t>164145557</t>
  </si>
  <si>
    <t>Předstěnové instalační systémy do lehkých stěn s kovovou konstrukcí pro závěsné klozety ovládání zepředu, stavební výšky 1120 mm</t>
  </si>
  <si>
    <t>https://podminky.urs.cz/item/CS_URS_2022_02/726131041</t>
  </si>
  <si>
    <t>726131043</t>
  </si>
  <si>
    <t>Instalační předstěna - klozet závěsný v 1120 mm s ovládáním zepředu pro postižené do stěn s kov kcí</t>
  </si>
  <si>
    <t>1178628906</t>
  </si>
  <si>
    <t>Předstěnové instalační systémy do lehkých stěn s kovovou konstrukcí pro závěsné klozety ovládání zepředu, stavební výšky 1120 mm pro tělesně postižené</t>
  </si>
  <si>
    <t>https://podminky.urs.cz/item/CS_URS_2022_02/726131043</t>
  </si>
  <si>
    <t>998726112</t>
  </si>
  <si>
    <t>Přesun hmot tonážní pro instalační prefabrikáty v objektech v přes 6 do 12 m</t>
  </si>
  <si>
    <t>1732451411</t>
  </si>
  <si>
    <t>Přesun hmot pro instalační prefabrikáty stanovený z hmotnosti přesunovaného materiálu vodorovná dopravní vzdálenost do 50 m v objektech výšky přes 6 m do 12 m</t>
  </si>
  <si>
    <t>https://podminky.urs.cz/item/CS_URS_2022_02/998726112</t>
  </si>
  <si>
    <t>998726181</t>
  </si>
  <si>
    <t>Příplatek k přesunu hmot tonážní 726 prováděný bez použití mechanizace</t>
  </si>
  <si>
    <t>98640049</t>
  </si>
  <si>
    <t>Přesun hmot pro instalační prefabrikáty stanovený z hmotnosti přesunovaného materiálu Příplatek k cenám za přesun prováděný bez použití mechanizace pro jakoukoliv výšku objektu</t>
  </si>
  <si>
    <t>https://podminky.urs.cz/item/CS_URS_2022_02/998726181</t>
  </si>
  <si>
    <t>727</t>
  </si>
  <si>
    <t>Zdravotechnika - požární ochrana</t>
  </si>
  <si>
    <t>893981012</t>
  </si>
  <si>
    <t>732</t>
  </si>
  <si>
    <t>Ústřední vytápění - strojovny</t>
  </si>
  <si>
    <t>732421406</t>
  </si>
  <si>
    <t>Čerpadlo teplovodní mokroběžné závitové oběhové DN 25 výtlak do 4,0 m průtok 5,7 m3/h pro vytápění</t>
  </si>
  <si>
    <t>1351554258</t>
  </si>
  <si>
    <t>Čerpadla teplovodní závitová mokroběžná oběhová pro teplovodní vytápění (elektronicky řízená) PN 10, do 110°C DN přípojky/dopravní výška H (m) - čerpací výkon Q (m3/h) DN 25 / do 4,0 m / 5,7 m3/h</t>
  </si>
  <si>
    <t>https://podminky.urs.cz/item/CS_URS_2022_02/732421406</t>
  </si>
  <si>
    <t>998732101</t>
  </si>
  <si>
    <t>Přesun hmot tonážní pro strojovny v objektech v do 6 m</t>
  </si>
  <si>
    <t>902963590</t>
  </si>
  <si>
    <t>Přesun hmot pro strojovny stanovený z hmotnosti přesunovaného materiálu vodorovná dopravní vzdálenost do 50 m v objektech výšky do 6 m</t>
  </si>
  <si>
    <t>https://podminky.urs.cz/item/CS_URS_2022_02/998732101</t>
  </si>
  <si>
    <t>998732181</t>
  </si>
  <si>
    <t>Příplatek k přesunu hmot tonážní 732 prováděný bez použití mechanizace</t>
  </si>
  <si>
    <t>-632876602</t>
  </si>
  <si>
    <t>Přesun hmot pro strojovny stanovený z hmotnosti přesunovaného materiálu Příplatek k cenám za přesun prováděný bez použití mechanizace pro jakoukoliv výšku objektu</t>
  </si>
  <si>
    <t>https://podminky.urs.cz/item/CS_URS_2022_02/998732181</t>
  </si>
  <si>
    <t>472287385</t>
  </si>
  <si>
    <t>SO 5 - VZT</t>
  </si>
  <si>
    <t>VZDUCHOTECHNIKA - viz příloha</t>
  </si>
  <si>
    <t>1488480021</t>
  </si>
  <si>
    <t>-631216119</t>
  </si>
  <si>
    <t>1280575210</t>
  </si>
  <si>
    <t>539989210</t>
  </si>
  <si>
    <t>VON - vedlejší a ostatní náklady</t>
  </si>
  <si>
    <t>012303000</t>
  </si>
  <si>
    <t>Geodetické práce po výstavbě</t>
  </si>
  <si>
    <t>255459016</t>
  </si>
  <si>
    <t>https://podminky.urs.cz/item/CS_URS_2022_02/012303000</t>
  </si>
  <si>
    <t>013254000</t>
  </si>
  <si>
    <t>Dokumentace skutečného provedení stavby</t>
  </si>
  <si>
    <t>-1589556110</t>
  </si>
  <si>
    <t>https://podminky.urs.cz/item/CS_URS_2022_02/013254000</t>
  </si>
  <si>
    <t>030001000</t>
  </si>
  <si>
    <t>-235783584</t>
  </si>
  <si>
    <t>https://podminky.urs.cz/item/CS_URS_2022_02/030001000</t>
  </si>
  <si>
    <t>033002000</t>
  </si>
  <si>
    <t>Připojení staveniště na inženýrské sítě</t>
  </si>
  <si>
    <t>1963779650</t>
  </si>
  <si>
    <t>https://podminky.urs.cz/item/CS_URS_2022_02/033002000</t>
  </si>
  <si>
    <t>033203000</t>
  </si>
  <si>
    <t>Energie pro zařízení staveniště</t>
  </si>
  <si>
    <t>1076808898</t>
  </si>
  <si>
    <t>https://podminky.urs.cz/item/CS_URS_2022_02/033203000</t>
  </si>
  <si>
    <t>034503000</t>
  </si>
  <si>
    <t>Informační tabule na staveništi</t>
  </si>
  <si>
    <t>-1036697768</t>
  </si>
  <si>
    <t>https://podminky.urs.cz/item/CS_URS_2022_02/034503000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</si>
  <si>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</si>
  <si>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</si>
  <si>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</si>
  <si>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</si>
  <si>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</si>
  <si>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</si>
  <si>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</si>
  <si>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</si>
  <si>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</si>
  <si>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</si>
  <si>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</si>
  <si>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</si>
  <si>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</si>
  <si>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</si>
  <si>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</si>
  <si>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</si>
  <si>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</si>
  <si>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</si>
  <si>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</si>
  <si>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</si>
  <si>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</si>
  <si>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</si>
  <si>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</si>
  <si>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</si>
  <si>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</si>
  <si>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</si>
  <si>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</si>
  <si>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</si>
  <si>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</si>
  <si>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</si>
  <si>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</si>
  <si>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</si>
  <si>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</si>
  <si>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</si>
  <si>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</si>
  <si>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</si>
  <si>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</si>
  <si>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</si>
  <si>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</si>
  <si>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</si>
  <si>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</si>
  <si>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</si>
  <si>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</si>
  <si>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</si>
  <si>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</si>
  <si>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</si>
  <si>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</si>
  <si>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</si>
  <si>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</si>
  <si>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</si>
  <si>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</si>
  <si>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</si>
  <si>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</si>
  <si>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</si>
  <si>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</si>
  <si>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</si>
  <si>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</si>
  <si>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</si>
  <si>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</si>
  <si>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</si>
  <si>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</si>
  <si>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</si>
  <si>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</si>
  <si>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</si>
  <si>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</si>
  <si>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</si>
  <si>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</si>
  <si>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</si>
  <si>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</si>
  <si>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</si>
  <si>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</si>
  <si>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</si>
  <si>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</si>
  <si>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</si>
  <si>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</si>
  <si>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</si>
  <si>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</si>
  <si>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</si>
  <si>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</si>
  <si>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</si>
  <si>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</si>
  <si>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</si>
  <si>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</si>
  <si>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</si>
  <si>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</si>
  <si>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</si>
  <si>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</si>
  <si>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</si>
  <si>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</si>
  <si>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</si>
  <si>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</si>
  <si>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</si>
  <si>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</si>
  <si>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</si>
  <si>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</si>
  <si>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</si>
  <si>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</si>
  <si>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</si>
  <si>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</si>
  <si>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</si>
  <si>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</si>
  <si>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</si>
  <si>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</si>
  <si>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</si>
  <si>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</si>
  <si>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</si>
  <si>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</si>
  <si>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</si>
  <si>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</si>
  <si>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</si>
  <si>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</si>
  <si>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</si>
  <si>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</si>
  <si>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</si>
  <si>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</si>
  <si>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</si>
  <si>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</si>
  <si>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</si>
  <si>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</si>
  <si>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</si>
  <si>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</si>
  <si>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</si>
  <si>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</si>
  <si>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</si>
  <si>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</si>
  <si>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</si>
  <si>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</si>
  <si>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</si>
  <si>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</si>
  <si>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</si>
  <si>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</si>
  <si>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</si>
  <si>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</si>
  <si>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</si>
  <si>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</si>
  <si>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</si>
  <si>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</si>
  <si>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</si>
  <si>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</si>
  <si>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</si>
  <si>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</si>
  <si>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</si>
  <si>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</si>
  <si>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</si>
  <si>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</si>
  <si>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</si>
  <si>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</si>
  <si>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</si>
  <si>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</si>
  <si>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</si>
  <si>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</si>
  <si>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</si>
  <si>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</si>
  <si>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</si>
  <si>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</si>
  <si>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</si>
  <si>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</si>
  <si>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</si>
  <si>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</si>
  <si>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</si>
  <si>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</si>
  <si>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</si>
  <si>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</si>
  <si>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</si>
  <si>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</si>
  <si>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</si>
  <si>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</si>
  <si>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</si>
  <si>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</si>
  <si>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</si>
  <si>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</si>
  <si>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</si>
  <si>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</si>
  <si>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</si>
  <si>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</si>
  <si>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</si>
  <si>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</si>
  <si>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</si>
  <si>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</si>
  <si>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</si>
  <si>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</si>
  <si>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</si>
  <si>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</si>
  <si>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</si>
  <si>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</si>
  <si>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</si>
  <si>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</si>
  <si>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akce:</t>
  </si>
  <si>
    <r>
      <t xml:space="preserve">ÚPRAVA ELEKTROINSTALACE - </t>
    </r>
    <r>
      <rPr>
        <b/>
        <sz val="12"/>
        <rFont val="Times New Roman"/>
        <family val="1"/>
      </rPr>
      <t>Základní škola Louny, Prokopa Holého 2632, příspěvková organizace, Prokopa Holého 2632, Louny</t>
    </r>
  </si>
  <si>
    <t>rozpočet</t>
  </si>
  <si>
    <t>pavilon bývalého bazénu - technické podlaží 1.PP, chodba 1.NP, učebna 1.NP, sociální zázemí 1.NP, místnost vzduchotechniky 1.NP</t>
  </si>
  <si>
    <t>schodiště, chodba 2.NP, učebna jazyků 2.NP, dílna 1 a dílna 2 ve 2.NP, sociální zázemí 2.NP</t>
  </si>
  <si>
    <t>pozice</t>
  </si>
  <si>
    <t>název</t>
  </si>
  <si>
    <t>specifikace</t>
  </si>
  <si>
    <t>výrobce</t>
  </si>
  <si>
    <t>množství</t>
  </si>
  <si>
    <t>jedn.</t>
  </si>
  <si>
    <t>cena/jedn.</t>
  </si>
  <si>
    <t>cena</t>
  </si>
  <si>
    <t>rozvaděč RP1 (1.NP)</t>
  </si>
  <si>
    <t>dle výkr.č.400604.5-E</t>
  </si>
  <si>
    <t>ks</t>
  </si>
  <si>
    <t>rozvaděč RP2 (2.NP)</t>
  </si>
  <si>
    <t>dle výkr.č.400604.6-E</t>
  </si>
  <si>
    <t>kabel plastový s Cu jádrem</t>
  </si>
  <si>
    <t>CYKY-J 4x25-hlavní přívod</t>
  </si>
  <si>
    <t>NKT Kladno</t>
  </si>
  <si>
    <t>CYKY-J 3x1,5-světla</t>
  </si>
  <si>
    <t>CYKY-O 3x1,5-vypínače</t>
  </si>
  <si>
    <t>CYKY-J 5x6-výtah</t>
  </si>
  <si>
    <t>CYKY-J 5x2,5-VZT</t>
  </si>
  <si>
    <t>kabel plastový s požární odolností  s Cu jádrem</t>
  </si>
  <si>
    <t>CXKH-R 5Jx1,5</t>
  </si>
  <si>
    <t>CXKH-R 3Ox1,5</t>
  </si>
  <si>
    <t>průmyslový záložní zdroj požárního ventilátoru</t>
  </si>
  <si>
    <t>ASTIP STRONG 1000/3f-60min.</t>
  </si>
  <si>
    <t>ASTIP s.r.o.</t>
  </si>
  <si>
    <t>závěs pro kanál drátěný 35x100</t>
  </si>
  <si>
    <t>DZ DZSZ 35x100_S</t>
  </si>
  <si>
    <t>KOPOS KOLÍN</t>
  </si>
  <si>
    <t>kanál drátěný pro kabely 30x50x3000</t>
  </si>
  <si>
    <t>CF 30/50 EZ</t>
  </si>
  <si>
    <t>Cablofil</t>
  </si>
  <si>
    <t>příchytka plast trubky pr.20</t>
  </si>
  <si>
    <t>5320 KB</t>
  </si>
  <si>
    <t>trubka hrdlovaná tuhá pr.20</t>
  </si>
  <si>
    <t>1520 KA</t>
  </si>
  <si>
    <t>lišta vkládací 20x20 bílá</t>
  </si>
  <si>
    <t>LHD 20x20 /2m</t>
  </si>
  <si>
    <t>krabice odbočná IP65</t>
  </si>
  <si>
    <t>A-BOX 025-L</t>
  </si>
  <si>
    <t>SPELSBERG</t>
  </si>
  <si>
    <t>krabice odbočná pod omítku</t>
  </si>
  <si>
    <t>KU68</t>
  </si>
  <si>
    <t>krabice odbočná na omítku se svorkovnicí</t>
  </si>
  <si>
    <t>LK 80/3</t>
  </si>
  <si>
    <t>spínač domovní kompletní (řazení č.1)</t>
  </si>
  <si>
    <t xml:space="preserve">3559-A01345+3558A-A651 B+3901A-B10 B </t>
  </si>
  <si>
    <t>ABB Elektro</t>
  </si>
  <si>
    <t>spínač domovní kompletní (řazení č.5)</t>
  </si>
  <si>
    <t xml:space="preserve">3559-A05345+3558A-A652 B+3901A-B10 B </t>
  </si>
  <si>
    <t>přepínač domovní kompletní (řazení č.6)</t>
  </si>
  <si>
    <t xml:space="preserve">3559-A06345+3558A-A651 B+3901A-B10 B </t>
  </si>
  <si>
    <t>spínač pro povrchovou montáž, řazení č.1, IP44</t>
  </si>
  <si>
    <t xml:space="preserve">3553 25922 B ,,PRAKTIK" </t>
  </si>
  <si>
    <t>zásuvka jednonásobná 230V/16A, IP20</t>
  </si>
  <si>
    <t xml:space="preserve">5517 2389 B1 ,,CLASIC" </t>
  </si>
  <si>
    <t>zásuvka 230V/16A pro povrchovou montáž, IP44</t>
  </si>
  <si>
    <t xml:space="preserve">5518 2929 B ,,PRAKTIK" </t>
  </si>
  <si>
    <t>sada pro nouzové přivolání pomoci postiženým</t>
  </si>
  <si>
    <t>Reflex SI 3280B-C10001 B</t>
  </si>
  <si>
    <t>svítidlo LED 48W přisazené, IP66</t>
  </si>
  <si>
    <t>FUTURA 2,4ft PC AL kat.č.75050</t>
  </si>
  <si>
    <t>TREVOS</t>
  </si>
  <si>
    <t>svítidlo LED 48W přisazené</t>
  </si>
  <si>
    <t>BELTR LED 2,4ft kat.č.54240</t>
  </si>
  <si>
    <t>svítidlo LED 48W + nouz.1h-přisazené</t>
  </si>
  <si>
    <t>BELTR LED 2,4ft M1h kat.č.54244</t>
  </si>
  <si>
    <t>svítidlo LED 32W asymetrické - zavěšené</t>
  </si>
  <si>
    <t>PSP TORINO LED AS kat.č.86110</t>
  </si>
  <si>
    <t xml:space="preserve"> </t>
  </si>
  <si>
    <t>svítidlo LED 32W přisazené, IP44</t>
  </si>
  <si>
    <t>CALA 32 kat.č.ML-411.200.32.0</t>
  </si>
  <si>
    <t>McLED</t>
  </si>
  <si>
    <t>závěs lankový pro asymetrická svítidla</t>
  </si>
  <si>
    <t>ZL2/2+redukce</t>
  </si>
  <si>
    <t>ELKOVO Čepelík</t>
  </si>
  <si>
    <t xml:space="preserve">spojovací materiál. </t>
  </si>
  <si>
    <t>vruty,hmoždinky</t>
  </si>
  <si>
    <t>svorky instalační</t>
  </si>
  <si>
    <t>svorky-2273-204,</t>
  </si>
  <si>
    <t>WAGO</t>
  </si>
  <si>
    <t>ostatní</t>
  </si>
  <si>
    <t>sádra</t>
  </si>
  <si>
    <t>Páska zemnící</t>
  </si>
  <si>
    <t>FeZn 30x4</t>
  </si>
  <si>
    <t>TREMIS</t>
  </si>
  <si>
    <t>Drát zemnící (střecha,svody)</t>
  </si>
  <si>
    <t>8-AlMgSi T/2</t>
  </si>
  <si>
    <t>Drát zemnící (uzemňovací svody)</t>
  </si>
  <si>
    <t>FeZn 10</t>
  </si>
  <si>
    <t>Jímací tyč</t>
  </si>
  <si>
    <t>JR 2,0 AlMgSi</t>
  </si>
  <si>
    <t>podstavec betonový</t>
  </si>
  <si>
    <t>PB19</t>
  </si>
  <si>
    <t>podložka pro podstavec betonový</t>
  </si>
  <si>
    <t>podl SB19</t>
  </si>
  <si>
    <t>svorka diag.tyč/drát</t>
  </si>
  <si>
    <t>SJ1d</t>
  </si>
  <si>
    <t>svorka spojovací</t>
  </si>
  <si>
    <t>SS</t>
  </si>
  <si>
    <t>podpěra vedení</t>
  </si>
  <si>
    <t>PV 21c</t>
  </si>
  <si>
    <t>svorka okapová</t>
  </si>
  <si>
    <t>Soc</t>
  </si>
  <si>
    <t>držák úhelníku</t>
  </si>
  <si>
    <t>DUS</t>
  </si>
  <si>
    <t>ochranný úhelník</t>
  </si>
  <si>
    <t>OU 1,7</t>
  </si>
  <si>
    <t>svorka křížová (drát/páska)</t>
  </si>
  <si>
    <t>SR3b+1a</t>
  </si>
  <si>
    <t>svorka diagonální</t>
  </si>
  <si>
    <t>SKd</t>
  </si>
  <si>
    <t>svorka zkušební</t>
  </si>
  <si>
    <t>Sza</t>
  </si>
  <si>
    <t>tyč zemnící</t>
  </si>
  <si>
    <t>ZT1,5t</t>
  </si>
  <si>
    <t>demontáž</t>
  </si>
  <si>
    <t>likvidace odpadu</t>
  </si>
  <si>
    <t>montáž</t>
  </si>
  <si>
    <t>1/hod</t>
  </si>
  <si>
    <t>doprava</t>
  </si>
  <si>
    <t>výchozí revize elektro</t>
  </si>
  <si>
    <t>měření osvětlení</t>
  </si>
  <si>
    <t>celkem</t>
  </si>
  <si>
    <t>Stavební rozpočet</t>
  </si>
  <si>
    <t>Název stavby:</t>
  </si>
  <si>
    <t>ZŠ P.Holého, Přestavba plaveckého pavilonu</t>
  </si>
  <si>
    <t>Doba výstavby:</t>
  </si>
  <si>
    <t>Objednatel:</t>
  </si>
  <si>
    <t>Město Louny, Mírové náměstí 35, Louny</t>
  </si>
  <si>
    <t>Druh stavby:</t>
  </si>
  <si>
    <t>VYTÁPĚNÍ</t>
  </si>
  <si>
    <t>Začátek výstavby:</t>
  </si>
  <si>
    <t>Ing. Radek Fokt</t>
  </si>
  <si>
    <t>Lokalita:</t>
  </si>
  <si>
    <t>Louny</t>
  </si>
  <si>
    <t>Konec výstavby:</t>
  </si>
  <si>
    <t>Zhotovitel:</t>
  </si>
  <si>
    <t> </t>
  </si>
  <si>
    <t>JKSO:</t>
  </si>
  <si>
    <t>Zpracováno dne:</t>
  </si>
  <si>
    <t>28.06.2020</t>
  </si>
  <si>
    <t>Zpracoval:</t>
  </si>
  <si>
    <t>Č</t>
  </si>
  <si>
    <t>Zkrácený popis / Varianta</t>
  </si>
  <si>
    <t>Cena/MJ</t>
  </si>
  <si>
    <t>Náklady (Kč)</t>
  </si>
  <si>
    <t>Hmotnost (t)</t>
  </si>
  <si>
    <t>Cenová</t>
  </si>
  <si>
    <t>ISWORK</t>
  </si>
  <si>
    <t>GROUPCODE</t>
  </si>
  <si>
    <t>Rozměry</t>
  </si>
  <si>
    <t>(Kč)</t>
  </si>
  <si>
    <t>Dodávka</t>
  </si>
  <si>
    <t>Montáž</t>
  </si>
  <si>
    <t>Celkem</t>
  </si>
  <si>
    <t>Jednot.</t>
  </si>
  <si>
    <t>soustava</t>
  </si>
  <si>
    <t>Přesuny</t>
  </si>
  <si>
    <t>Typ skupiny</t>
  </si>
  <si>
    <t>HSV mat</t>
  </si>
  <si>
    <t>HSV prac</t>
  </si>
  <si>
    <t>PSV mat</t>
  </si>
  <si>
    <t>PSV prac</t>
  </si>
  <si>
    <t>Mont mat</t>
  </si>
  <si>
    <t>Mont prac</t>
  </si>
  <si>
    <t>Ostatní mat.</t>
  </si>
  <si>
    <t>MAT</t>
  </si>
  <si>
    <t>WORK</t>
  </si>
  <si>
    <t>CELK</t>
  </si>
  <si>
    <t>Vnitřní vodovod</t>
  </si>
  <si>
    <t>722181225RT5</t>
  </si>
  <si>
    <t>Izolace návleková Al.folie tl. stěny 25 mm, D15</t>
  </si>
  <si>
    <t>RTS I / 2022</t>
  </si>
  <si>
    <t>722_</t>
  </si>
  <si>
    <t>72_</t>
  </si>
  <si>
    <t>_</t>
  </si>
  <si>
    <t>Varianta:</t>
  </si>
  <si>
    <t>vnitřní průměr 15 mm</t>
  </si>
  <si>
    <t>722181225RT6</t>
  </si>
  <si>
    <t>Izolace návleková Al.folie tl. stěny 25 mm, D18</t>
  </si>
  <si>
    <t>vnitřní průměr 18 mm</t>
  </si>
  <si>
    <t>722181225RT7</t>
  </si>
  <si>
    <t>Izolace návleková Al.folie tl. stěny 25 mm, D22</t>
  </si>
  <si>
    <t>vnitřní průměr 22 mm</t>
  </si>
  <si>
    <t>722181225RT9</t>
  </si>
  <si>
    <t>Izolace návleková Al.folie tl. stěny 25 mm, D28</t>
  </si>
  <si>
    <t>vnitřní průměr 28 mm</t>
  </si>
  <si>
    <t>722181225RU2</t>
  </si>
  <si>
    <t>Izolace návleková Al.folie tl. stěny 25 mm, D35</t>
  </si>
  <si>
    <t>vnitřní průměr 35 mm</t>
  </si>
  <si>
    <t>722181225RW2</t>
  </si>
  <si>
    <t>Izolace návleková Al.folie tl. stěny 25 mm, D45</t>
  </si>
  <si>
    <t>vnitřní průměr 45 mm</t>
  </si>
  <si>
    <t>722181225RW8</t>
  </si>
  <si>
    <t>Izolace návleková Al.folie tl. stěny 25 mm, D54</t>
  </si>
  <si>
    <t>vnitřní průměr 54 mm</t>
  </si>
  <si>
    <t>998722101R00</t>
  </si>
  <si>
    <t>Přesun hmot pro vnitřní vodovod, výšky do 6 m</t>
  </si>
  <si>
    <t>730</t>
  </si>
  <si>
    <t>Demontáže</t>
  </si>
  <si>
    <t>713400821R00</t>
  </si>
  <si>
    <t>Odstranění izolačních pásů  potrubí</t>
  </si>
  <si>
    <t>730_</t>
  </si>
  <si>
    <t>73_</t>
  </si>
  <si>
    <t>733110806R00</t>
  </si>
  <si>
    <t>Demontáž potrubí ocelového závitového do DN 15-32</t>
  </si>
  <si>
    <t>733110808R00</t>
  </si>
  <si>
    <t>Demontáž potrubí ocelového závitového do DN 32-50</t>
  </si>
  <si>
    <t>733890801R00</t>
  </si>
  <si>
    <t>Přemístění vybouraných hmot - potrubí, H do 6 m</t>
  </si>
  <si>
    <t>735111810R00</t>
  </si>
  <si>
    <t>Demontáž těles otopných litinových článkových</t>
  </si>
  <si>
    <t>735291800R00</t>
  </si>
  <si>
    <t>Demontáž konzol otopných těles do odpadu</t>
  </si>
  <si>
    <t>735890801R00</t>
  </si>
  <si>
    <t>Přemístění demont. hmot - otop. těles, H do 6 m</t>
  </si>
  <si>
    <t>713400821R01</t>
  </si>
  <si>
    <t>Přemístění vybouraných hmot - tepelné izolace, H do 6 m</t>
  </si>
  <si>
    <t>979011111R00</t>
  </si>
  <si>
    <t>Svislá doprava suti a vybour. hmot za 2.NP a 1.PP</t>
  </si>
  <si>
    <t>979081111R00</t>
  </si>
  <si>
    <t>Odvoz suti a vybour. hmot na skládku do 1 km</t>
  </si>
  <si>
    <t>979081121R00</t>
  </si>
  <si>
    <t>Příplatek k odvozu za každý další 1 km</t>
  </si>
  <si>
    <t>979086213R00</t>
  </si>
  <si>
    <t>Nakládání vybouraných hmot na dopravní prostředek</t>
  </si>
  <si>
    <t>979990144R00</t>
  </si>
  <si>
    <t>Poplatek za skládku suti - minerální vata</t>
  </si>
  <si>
    <t>733</t>
  </si>
  <si>
    <t>Rozvod potrubí</t>
  </si>
  <si>
    <t>733163102R00</t>
  </si>
  <si>
    <t>Potrubí z měděných trubek vytápění D 15 x 1,0 mm</t>
  </si>
  <si>
    <t>733_</t>
  </si>
  <si>
    <t>733163103R00</t>
  </si>
  <si>
    <t>Potrubí z měděných trubek vytápění D 18 x 1,0 mm</t>
  </si>
  <si>
    <t>733163104R00</t>
  </si>
  <si>
    <t>Potrubí z měděných trubek vytápění D 22 x 1,0 mm</t>
  </si>
  <si>
    <t>733163105R00</t>
  </si>
  <si>
    <t>Potrubí z měděných trubek vytápění D 28 x 1,5 mm</t>
  </si>
  <si>
    <t>733163106R00</t>
  </si>
  <si>
    <t>Potrubí z měděných trubek vytápění D 35 x 1,5 mm</t>
  </si>
  <si>
    <t>733163107R00</t>
  </si>
  <si>
    <t>Potrubí z měděných trubek vytápění D 42 x 1,5 mm</t>
  </si>
  <si>
    <t>733163108R00</t>
  </si>
  <si>
    <t>Potrubí z měděných trubek vytápění D 54 x 2,0 mm</t>
  </si>
  <si>
    <t>733190306R00</t>
  </si>
  <si>
    <t>Tlaková zkouška Cu potrubí do D 35</t>
  </si>
  <si>
    <t>733190307R00</t>
  </si>
  <si>
    <t>Tlaková zkouška Cu potrubí do D 64</t>
  </si>
  <si>
    <t>733191111R00</t>
  </si>
  <si>
    <t>Manžety prostupové pro trubky do DN 20</t>
  </si>
  <si>
    <t>733191112R00</t>
  </si>
  <si>
    <t>Manžety prostupové pro trubky do DN 32</t>
  </si>
  <si>
    <t>733191113R00</t>
  </si>
  <si>
    <t>Manžety prostupové pro trubky do DN 50</t>
  </si>
  <si>
    <t>998733101R00</t>
  </si>
  <si>
    <t>Přesun hmot pro rozvody potrubí, výšky do 6 m</t>
  </si>
  <si>
    <t>734</t>
  </si>
  <si>
    <t>Armatury</t>
  </si>
  <si>
    <t>734235124R00</t>
  </si>
  <si>
    <t>Kohout kulový,2xvnitřní záv. DN 32</t>
  </si>
  <si>
    <t>734_</t>
  </si>
  <si>
    <t>734235125R00</t>
  </si>
  <si>
    <t>Kohout kulový,2xvnitřní záv. DN 40</t>
  </si>
  <si>
    <t>734295321R00</t>
  </si>
  <si>
    <t>Kohout kul.vypouštěcí,komplet, DN 15</t>
  </si>
  <si>
    <t>734223122RT1</t>
  </si>
  <si>
    <t>Ventil termostatický, přímý, DN 15</t>
  </si>
  <si>
    <t>bez termostatické hlavice</t>
  </si>
  <si>
    <t>734263132R00</t>
  </si>
  <si>
    <t>Šroubení regulační, přímé, DN 15</t>
  </si>
  <si>
    <t>734221672RT3</t>
  </si>
  <si>
    <t>Hlavice ovládání ventilů termostat., pro veřejné budovy</t>
  </si>
  <si>
    <t>998734101R00</t>
  </si>
  <si>
    <t>Přesun hmot pro armatury, výšky do 6 m</t>
  </si>
  <si>
    <t>Otopná tělesa</t>
  </si>
  <si>
    <t>735000912R00</t>
  </si>
  <si>
    <t>Vyregulování ventilů s termost.ovládáním</t>
  </si>
  <si>
    <t>735_</t>
  </si>
  <si>
    <t>735153300R00</t>
  </si>
  <si>
    <t>Příplatek za odvzdušňovací ventil</t>
  </si>
  <si>
    <t>735156560R00</t>
  </si>
  <si>
    <t>Otopná tělesa panelová 21  600/ 400</t>
  </si>
  <si>
    <t>735156561R00</t>
  </si>
  <si>
    <t>Otopná tělesa panelová 21  600/ 500</t>
  </si>
  <si>
    <t>735156563R00</t>
  </si>
  <si>
    <t>Otopná tělesa panelová 21  600/ 700</t>
  </si>
  <si>
    <t>735156564R00</t>
  </si>
  <si>
    <t>Otopná tělesa panelová 21  600/ 800</t>
  </si>
  <si>
    <t>735156664R00</t>
  </si>
  <si>
    <t>Otopná tělesa panelová 22  600/ 800</t>
  </si>
  <si>
    <t>735156668R00</t>
  </si>
  <si>
    <t>Otopná tělesa panelová 22  600/1400</t>
  </si>
  <si>
    <t>735156669R00</t>
  </si>
  <si>
    <t>Otopná tělesa panelová 22  600/1600</t>
  </si>
  <si>
    <t>735156670R00</t>
  </si>
  <si>
    <t>Otopná tělesa panelová 22  600/1800</t>
  </si>
  <si>
    <t>735156671R00</t>
  </si>
  <si>
    <t>Otopná tělesa panelová 22  600/2000</t>
  </si>
  <si>
    <t>735156672R00</t>
  </si>
  <si>
    <t>Otopná tělesa panelová 22  600/2300</t>
  </si>
  <si>
    <t>735156680R00</t>
  </si>
  <si>
    <t>Otopná tělesa panelová 22  900/ 400</t>
  </si>
  <si>
    <t>998735101R00</t>
  </si>
  <si>
    <t>Přesun hmot pro otopná tělesa, výšky do 6 m</t>
  </si>
  <si>
    <t>Hodinové zúčtovací sazby (HZS)</t>
  </si>
  <si>
    <t>904      R02</t>
  </si>
  <si>
    <t>Hzs-zkousky v ramci montaz.praci, dle ČSN 60 0310</t>
  </si>
  <si>
    <t>h</t>
  </si>
  <si>
    <t>90_</t>
  </si>
  <si>
    <t>9_</t>
  </si>
  <si>
    <t>Topné zkoušky</t>
  </si>
  <si>
    <t>900      RT9</t>
  </si>
  <si>
    <t>HZS - přeprogramování stávajícího systému MaR</t>
  </si>
  <si>
    <t>programátor</t>
  </si>
  <si>
    <t>Celkem:</t>
  </si>
  <si>
    <t>Přestavba plaveckého pavilonu - ZŠ P.Holého</t>
  </si>
  <si>
    <t>VZDUCHOTECHNIKA</t>
  </si>
  <si>
    <t>09.07.2020</t>
  </si>
  <si>
    <t>713411122R00</t>
  </si>
  <si>
    <t>Izolace tepelná potrubí samolepící</t>
  </si>
  <si>
    <t>713_</t>
  </si>
  <si>
    <t>71_</t>
  </si>
  <si>
    <t>283753512</t>
  </si>
  <si>
    <t>izolační pás samolepící, PET tl. 50mm šířka 1000 mm</t>
  </si>
  <si>
    <t>283753509</t>
  </si>
  <si>
    <t>izolační pás samolepící, PET tl. 20mm šířka 1000 mm</t>
  </si>
  <si>
    <t>713491111R00</t>
  </si>
  <si>
    <t>Izolace -  montáž oplechování pevného - potrubí</t>
  </si>
  <si>
    <t>opláštění potrubíé nad střechou</t>
  </si>
  <si>
    <t>42981196</t>
  </si>
  <si>
    <t>Spiro roura hladká d 630, délka 1 m</t>
  </si>
  <si>
    <t>998713101R00</t>
  </si>
  <si>
    <t>Přesun hmot pro izolace tepelné, výšky do 6 m</t>
  </si>
  <si>
    <t>728</t>
  </si>
  <si>
    <t>728611116R00</t>
  </si>
  <si>
    <t>Mtž ventilátoru radiál.nízkotl.potrub. do 0,28 m2</t>
  </si>
  <si>
    <t>728_</t>
  </si>
  <si>
    <t>SP281100220IM</t>
  </si>
  <si>
    <t>(pozice 1.1) radiální ventilátor min4800 m3/h, 200Pa</t>
  </si>
  <si>
    <t>728211416R00</t>
  </si>
  <si>
    <t>Montáž klapky plechové čtyřhranné do 0,28 m2</t>
  </si>
  <si>
    <t>PR360100120IM</t>
  </si>
  <si>
    <t>(pozice 1.2) uzavírací klapka 400x700mm, vč. servopohonu</t>
  </si>
  <si>
    <t>728314113R00</t>
  </si>
  <si>
    <t>Montáž protidešť. žaluzie čtyřhranné do 0,45 m2</t>
  </si>
  <si>
    <t>4295330124</t>
  </si>
  <si>
    <t>(pozice 1.3) Žaluzie protidešťová 400x800</t>
  </si>
  <si>
    <t>728314112R00</t>
  </si>
  <si>
    <t>Montáž krycí mřížky do 0,28 m2</t>
  </si>
  <si>
    <t>42952690</t>
  </si>
  <si>
    <t>(pozice 1.4) Mřížka ochranná 400x700</t>
  </si>
  <si>
    <t>728211217R00</t>
  </si>
  <si>
    <t>Montáž přechodu plechového čtyřhranného do 0,4 m2</t>
  </si>
  <si>
    <t>42982120</t>
  </si>
  <si>
    <t>Tvarovka 4hranná 400x700 - 400x800, Pz plech</t>
  </si>
  <si>
    <t>728111117R00</t>
  </si>
  <si>
    <t>Montáž potrubí plechového čtyřhranného do 0,40 m2</t>
  </si>
  <si>
    <t>4298201033</t>
  </si>
  <si>
    <t>Trouba rovná 4hranná  400 x 800 mm, délka 1 m</t>
  </si>
  <si>
    <t>728211117R00</t>
  </si>
  <si>
    <t>Montáž oblouku plechového čtyřhranného do 0,4 m2</t>
  </si>
  <si>
    <t>42982124</t>
  </si>
  <si>
    <t>Oblouk 4hranný 400x700mm, Pz plech</t>
  </si>
  <si>
    <t>728611611R00</t>
  </si>
  <si>
    <t>Mtž ventilátoru radiál.nízkotl.nástěn. do d 100 mm</t>
  </si>
  <si>
    <t>pozice 2.1</t>
  </si>
  <si>
    <t>SP221300030IM</t>
  </si>
  <si>
    <t>(pozice 2.1) Malý radiální ventilátor nástěnný, d100, 60 m3/h, 120Pa</t>
  </si>
  <si>
    <t>728314121R00</t>
  </si>
  <si>
    <t>Montáž samotížné žaluz. klapky do d 300 mm</t>
  </si>
  <si>
    <t>pozice 2.2</t>
  </si>
  <si>
    <t>SP475100020IM</t>
  </si>
  <si>
    <t>(pozice 2.2) Samotížná žaluzivoá klapka d100, bílá</t>
  </si>
  <si>
    <t>728616212R00</t>
  </si>
  <si>
    <t>Mtž ventilátoru diagon. nízkotl. potrub.do d 200mm</t>
  </si>
  <si>
    <t>pozice 2.3, 2.4</t>
  </si>
  <si>
    <t>SP200100645IM</t>
  </si>
  <si>
    <t>(pozice 2.4) Tichý potrubní ventilátor s doběhem d160 - viz technická zpráva</t>
  </si>
  <si>
    <t>SP200100635IM</t>
  </si>
  <si>
    <t>(pozice 2.3) Tichý potrubní ventilátor s doběhem d125 - viz technická zpráva</t>
  </si>
  <si>
    <t>728212412R00</t>
  </si>
  <si>
    <t>Montáž klapky zpětné s pruižinou, kruhové do d 200 mm</t>
  </si>
  <si>
    <t>pozice 2.5, 2.6</t>
  </si>
  <si>
    <t>PR550100020IM</t>
  </si>
  <si>
    <t>(pozice 2.5) Zpětná klapka d125</t>
  </si>
  <si>
    <t>PR550100040IM</t>
  </si>
  <si>
    <t>(pozice 2.6) Zpětná klapka d160</t>
  </si>
  <si>
    <t>728212712R00</t>
  </si>
  <si>
    <t>Montáž střišky nebo hlavice plech.kruh.do d 200 mm</t>
  </si>
  <si>
    <t>TV170100050IM</t>
  </si>
  <si>
    <t>Výfuková hlavice d160</t>
  </si>
  <si>
    <t>TV170100020IM</t>
  </si>
  <si>
    <t>Výfuková hlavice d125</t>
  </si>
  <si>
    <t>728413522R00</t>
  </si>
  <si>
    <t>Montáž talířového ventilu kruhového do d 200 mm</t>
  </si>
  <si>
    <t>pozice 2.7</t>
  </si>
  <si>
    <t>UCK500200342IM</t>
  </si>
  <si>
    <t>(pozice 2.7) Talířový ventil odvodní, nerez, d125</t>
  </si>
  <si>
    <t>728415111R00</t>
  </si>
  <si>
    <t>Montáž mřížky větrací nebo ventilační protipožární do 0,04 m2</t>
  </si>
  <si>
    <t>pozice 2.8</t>
  </si>
  <si>
    <t>595345420</t>
  </si>
  <si>
    <t>(pozice 2.8.) Větrací zpěňovací tvarovka 93x93 mm, 35cm2, EI 30, tl. 35 mm</t>
  </si>
  <si>
    <t>728112111R00</t>
  </si>
  <si>
    <t>Montáž potrubí plechového kruhového do d 100 mm</t>
  </si>
  <si>
    <t>42981181</t>
  </si>
  <si>
    <t>Spiro roura hladká d 100, délka 1 m</t>
  </si>
  <si>
    <t>728112112R00</t>
  </si>
  <si>
    <t>Montáž potrubí plechového kruhového do d 200 mm</t>
  </si>
  <si>
    <t>42981162</t>
  </si>
  <si>
    <t>Potrubí SPIRO d125, vč. tvarovek</t>
  </si>
  <si>
    <t>42981164</t>
  </si>
  <si>
    <t>Potrubí SPIRO 160, vč. tvarovek</t>
  </si>
  <si>
    <t>Montáž mřížky větrací nebo ventilační dveřní do 0,04 m2</t>
  </si>
  <si>
    <t>RF550100010IM</t>
  </si>
  <si>
    <t>dveřní mřížka 450x80 mm</t>
  </si>
  <si>
    <t>728611124R00</t>
  </si>
  <si>
    <t>Mtž kompaktní VZT jednotky</t>
  </si>
  <si>
    <t>pozice 3.1</t>
  </si>
  <si>
    <t>SU370200020IM</t>
  </si>
  <si>
    <t>(pozice 3.1) Kompaktní vzduchotechnická jednotka s rekuperací tepla - parametry viz technická zpráva</t>
  </si>
  <si>
    <t>728312122R00</t>
  </si>
  <si>
    <t>Montáž tlumiče kruhového do d 200 mm</t>
  </si>
  <si>
    <t>pozice 3.2</t>
  </si>
  <si>
    <t>KR530100050IM</t>
  </si>
  <si>
    <t>(pozice 3.2) tlumič hluku pro kruhová potrubí d160, l=900mm</t>
  </si>
  <si>
    <t>pozice 3.3, 3.4</t>
  </si>
  <si>
    <t>UCK500200341IM</t>
  </si>
  <si>
    <t>(pozice 3.3) talířový ventil odvodní nerez, d160</t>
  </si>
  <si>
    <t>UCK500200353IM</t>
  </si>
  <si>
    <t>(pozice 3.4.) talířový ventil přívodní nerez, d160</t>
  </si>
  <si>
    <t>Montáž žaluziové klapky kruhové do d 300 mm</t>
  </si>
  <si>
    <t>pozice 3.5</t>
  </si>
  <si>
    <t>SP475100050IM</t>
  </si>
  <si>
    <t>(pozice 3.5) žaluziová klapka samotížná bílá. d160</t>
  </si>
  <si>
    <t>Montáž protidešť. žaluzie kruhové do d 300 mm</t>
  </si>
  <si>
    <t>pozice 3.6</t>
  </si>
  <si>
    <t>SP485100010IM</t>
  </si>
  <si>
    <t>(pozice 3.6) protidešťová žaluzie plastová, pevné lamely, d160</t>
  </si>
  <si>
    <t>Montáž klapky požární kruhové do d 200 mm</t>
  </si>
  <si>
    <t>42971270</t>
  </si>
  <si>
    <t>(pozice 3.7) Klapka požární kruhová d160, teplotní čidlo</t>
  </si>
  <si>
    <t>998725101R00</t>
  </si>
  <si>
    <t>Přesun hmot pro vzduchotechniku, výšky do 6 m</t>
  </si>
  <si>
    <t>904      R01</t>
  </si>
  <si>
    <t>Hzs-zkousky v ramci montaz.praci - Komplexni vyzkouseni a zaregulování VZT</t>
  </si>
  <si>
    <t>Komplexni vyzkouseni</t>
  </si>
  <si>
    <t>Vypracování protokolu o zaregulování VZT systému</t>
  </si>
  <si>
    <t>PODROBNÉ PARAMETRY VŠECH ZAŘÍZENÍ, ZEJMÉNA VENTILÁTORŮ, JSOU UVEDENY V TECHNICKÉ ZPRÁÍVĚ!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</si>
</sst>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00\ &quot;Kč&quot;"/>
  </numFmts>
  <fonts count="6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b/>
      <sz val="14"/>
      <name val="Times New Roman"/>
      <family val="1"/>
    </font>
    <font>
      <b/>
      <sz val="12"/>
      <name val="Times New Roman"/>
      <family val="1"/>
    </font>
    <font>
      <b/>
      <sz val="9"/>
      <name val="Arial CE"/>
      <family val="2"/>
    </font>
    <font>
      <sz val="10"/>
      <color indexed="8"/>
      <name val="Arial"/>
      <family val="2"/>
    </font>
    <font>
      <sz val="18"/>
      <color indexed="8"/>
      <name val="Arial"/>
      <family val="2"/>
    </font>
    <font>
      <b/>
      <sz val="10"/>
      <color indexed="8"/>
      <name val="Arial"/>
      <family val="2"/>
    </font>
    <font>
      <b/>
      <sz val="10"/>
      <color indexed="56"/>
      <name val="Arial"/>
      <family val="2"/>
    </font>
    <font>
      <sz val="10"/>
      <color indexed="56"/>
      <name val="Arial"/>
      <family val="2"/>
    </font>
    <font>
      <sz val="10"/>
      <color indexed="61"/>
      <name val="Arial"/>
      <family val="2"/>
    </font>
    <font>
      <i/>
      <sz val="10"/>
      <color indexed="58"/>
      <name val="Arial"/>
      <family val="2"/>
    </font>
    <font>
      <i/>
      <sz val="10"/>
      <color indexed="59"/>
      <name val="Arial"/>
      <family val="2"/>
    </font>
    <font>
      <i/>
      <sz val="8"/>
      <color indexed="8"/>
      <name val="Arial"/>
      <family val="2"/>
    </font>
    <font>
      <sz val="10"/>
      <color indexed="62"/>
      <name val="Arial"/>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indexed="57"/>
        <bgColor indexed="64"/>
      </patternFill>
    </fill>
  </fills>
  <borders count="62">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bottom style="medium"/>
    </border>
    <border>
      <left style="thin"/>
      <right/>
      <top/>
      <bottom style="medium"/>
    </border>
    <border>
      <left/>
      <right/>
      <top/>
      <bottom style="medium"/>
    </border>
    <border>
      <left/>
      <right style="thin"/>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medium"/>
      <top style="medium"/>
      <bottom/>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top/>
      <bottom/>
    </border>
    <border>
      <left style="medium"/>
      <right style="thin"/>
      <top/>
      <bottom style="medium"/>
    </border>
    <border>
      <left style="thin"/>
      <right style="thin"/>
      <top/>
      <bottom style="medium"/>
    </border>
    <border>
      <left style="thin"/>
      <right style="medium"/>
      <top/>
      <bottom style="medium"/>
    </border>
    <border>
      <left/>
      <right/>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xf numFmtId="0" fontId="3" fillId="0" borderId="0">
      <alignment/>
      <protection/>
    </xf>
    <xf numFmtId="0" fontId="1" fillId="0" borderId="0">
      <alignment/>
      <protection/>
    </xf>
    <xf numFmtId="0" fontId="1" fillId="0" borderId="0">
      <alignment/>
      <protection/>
    </xf>
  </cellStyleXfs>
  <cellXfs count="467">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3" fillId="0" borderId="10" xfId="0" applyNumberFormat="1" applyFont="1" applyBorder="1"/>
    <xf numFmtId="166" fontId="33" fillId="0" borderId="11" xfId="0" applyNumberFormat="1" applyFont="1" applyBorder="1"/>
    <xf numFmtId="4" fontId="34"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Alignment="1" applyProtection="1">
      <alignment vertical="center"/>
      <protection locked="0"/>
    </xf>
    <xf numFmtId="0" fontId="0" fillId="0" borderId="18" xfId="0" applyBorder="1" applyAlignment="1">
      <alignment vertical="center"/>
    </xf>
    <xf numFmtId="0" fontId="37" fillId="0" borderId="0" xfId="0" applyFont="1" applyAlignment="1">
      <alignment horizontal="left" vertical="center"/>
    </xf>
    <xf numFmtId="0" fontId="38" fillId="0" borderId="0" xfId="20" applyFont="1" applyAlignment="1">
      <alignment vertical="center" wrapText="1"/>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5" fillId="0" borderId="26" xfId="0" applyFont="1" applyBorder="1" applyAlignment="1">
      <alignment horizontal="left" vertical="center"/>
    </xf>
    <xf numFmtId="0" fontId="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left" vertical="center"/>
    </xf>
    <xf numFmtId="0" fontId="45" fillId="0" borderId="27" xfId="0"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4" fontId="29" fillId="0" borderId="0" xfId="0" applyNumberFormat="1" applyFont="1" applyAlignment="1">
      <alignment vertical="center"/>
    </xf>
    <xf numFmtId="0" fontId="29" fillId="0" borderId="0" xfId="0" applyFont="1" applyAlignment="1">
      <alignment vertical="center"/>
    </xf>
    <xf numFmtId="0" fontId="23" fillId="4" borderId="7" xfId="0" applyFont="1" applyFill="1" applyBorder="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0" fontId="43" fillId="0" borderId="0" xfId="0" applyFont="1" applyBorder="1" applyAlignment="1">
      <alignment horizontal="center" vertical="center"/>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3" fillId="0" borderId="0" xfId="21">
      <alignment/>
      <protection/>
    </xf>
    <xf numFmtId="0" fontId="51" fillId="0" borderId="0" xfId="21" applyFont="1">
      <alignment/>
      <protection/>
    </xf>
    <xf numFmtId="0" fontId="5" fillId="0" borderId="0" xfId="21" applyFont="1">
      <alignment/>
      <protection/>
    </xf>
    <xf numFmtId="0" fontId="5" fillId="0" borderId="0" xfId="21" applyFont="1" applyAlignment="1">
      <alignment horizontal="right"/>
      <protection/>
    </xf>
    <xf numFmtId="0" fontId="5" fillId="0" borderId="0" xfId="21" applyFont="1" applyAlignment="1">
      <alignment horizontal="center"/>
      <protection/>
    </xf>
    <xf numFmtId="1" fontId="3" fillId="0" borderId="0" xfId="21" applyNumberFormat="1">
      <alignment/>
      <protection/>
    </xf>
    <xf numFmtId="0" fontId="3" fillId="0" borderId="0" xfId="21" applyAlignment="1">
      <alignment horizontal="right"/>
      <protection/>
    </xf>
    <xf numFmtId="168" fontId="3" fillId="0" borderId="0" xfId="21" applyNumberFormat="1" applyAlignment="1">
      <alignment horizontal="center"/>
      <protection/>
    </xf>
    <xf numFmtId="168" fontId="3" fillId="0" borderId="0" xfId="21" applyNumberFormat="1">
      <alignment/>
      <protection/>
    </xf>
    <xf numFmtId="0" fontId="19" fillId="0" borderId="0" xfId="21" applyFont="1">
      <alignment/>
      <protection/>
    </xf>
    <xf numFmtId="0" fontId="19" fillId="0" borderId="0" xfId="21" applyFont="1">
      <alignment/>
      <protection/>
    </xf>
    <xf numFmtId="0" fontId="53" fillId="0" borderId="0" xfId="21" applyFont="1">
      <alignment/>
      <protection/>
    </xf>
    <xf numFmtId="1" fontId="3" fillId="0" borderId="0" xfId="21" applyNumberFormat="1" applyAlignment="1">
      <alignment horizontal="right"/>
      <protection/>
    </xf>
    <xf numFmtId="0" fontId="3" fillId="0" borderId="0" xfId="21" applyAlignment="1">
      <alignment horizontal="center"/>
      <protection/>
    </xf>
    <xf numFmtId="0" fontId="19" fillId="0" borderId="31" xfId="21" applyFont="1" applyBorder="1">
      <alignment/>
      <protection/>
    </xf>
    <xf numFmtId="0" fontId="19" fillId="0" borderId="32" xfId="21" applyFont="1" applyBorder="1">
      <alignment/>
      <protection/>
    </xf>
    <xf numFmtId="1" fontId="19" fillId="0" borderId="32" xfId="21" applyNumberFormat="1" applyFont="1" applyBorder="1" applyAlignment="1">
      <alignment horizontal="right"/>
      <protection/>
    </xf>
    <xf numFmtId="0" fontId="19" fillId="0" borderId="32" xfId="21" applyFont="1" applyBorder="1" applyAlignment="1">
      <alignment horizontal="center"/>
      <protection/>
    </xf>
    <xf numFmtId="168" fontId="19" fillId="0" borderId="32" xfId="21" applyNumberFormat="1" applyFont="1" applyBorder="1">
      <alignment/>
      <protection/>
    </xf>
    <xf numFmtId="168" fontId="19" fillId="0" borderId="33" xfId="21" applyNumberFormat="1" applyFont="1" applyBorder="1">
      <alignment/>
      <protection/>
    </xf>
    <xf numFmtId="0" fontId="3" fillId="0" borderId="34" xfId="21" applyBorder="1" applyAlignment="1">
      <alignment horizontal="center"/>
      <protection/>
    </xf>
    <xf numFmtId="0" fontId="3" fillId="0" borderId="35" xfId="21" applyBorder="1">
      <alignment/>
      <protection/>
    </xf>
    <xf numFmtId="1" fontId="3" fillId="0" borderId="35" xfId="21" applyNumberFormat="1" applyBorder="1" applyAlignment="1">
      <alignment horizontal="right"/>
      <protection/>
    </xf>
    <xf numFmtId="0" fontId="3" fillId="0" borderId="35" xfId="21" applyBorder="1" applyAlignment="1">
      <alignment horizontal="center"/>
      <protection/>
    </xf>
    <xf numFmtId="168" fontId="3" fillId="0" borderId="35" xfId="21" applyNumberFormat="1" applyBorder="1">
      <alignment/>
      <protection/>
    </xf>
    <xf numFmtId="168" fontId="3" fillId="0" borderId="36" xfId="21" applyNumberFormat="1" applyBorder="1">
      <alignment/>
      <protection/>
    </xf>
    <xf numFmtId="0" fontId="3" fillId="0" borderId="37" xfId="21" applyBorder="1" applyAlignment="1">
      <alignment horizontal="center"/>
      <protection/>
    </xf>
    <xf numFmtId="0" fontId="3" fillId="0" borderId="38" xfId="21" applyBorder="1">
      <alignment/>
      <protection/>
    </xf>
    <xf numFmtId="1" fontId="3" fillId="0" borderId="38" xfId="21" applyNumberFormat="1" applyBorder="1" applyAlignment="1">
      <alignment horizontal="right"/>
      <protection/>
    </xf>
    <xf numFmtId="0" fontId="3" fillId="0" borderId="38" xfId="21" applyBorder="1" applyAlignment="1">
      <alignment horizontal="center"/>
      <protection/>
    </xf>
    <xf numFmtId="168" fontId="3" fillId="0" borderId="38" xfId="21" applyNumberFormat="1" applyBorder="1">
      <alignment/>
      <protection/>
    </xf>
    <xf numFmtId="168" fontId="3" fillId="0" borderId="39" xfId="21" applyNumberFormat="1" applyBorder="1">
      <alignment/>
      <protection/>
    </xf>
    <xf numFmtId="0" fontId="54" fillId="0" borderId="38" xfId="21" applyFont="1" applyBorder="1">
      <alignment/>
      <protection/>
    </xf>
    <xf numFmtId="0" fontId="0" fillId="0" borderId="38" xfId="22" applyFont="1" applyBorder="1">
      <alignment/>
      <protection/>
    </xf>
    <xf numFmtId="0" fontId="0" fillId="0" borderId="38" xfId="22" applyFont="1" applyBorder="1" applyAlignment="1">
      <alignment horizontal="center"/>
      <protection/>
    </xf>
    <xf numFmtId="168" fontId="0" fillId="0" borderId="38" xfId="22" applyNumberFormat="1" applyFont="1" applyBorder="1">
      <alignment/>
      <protection/>
    </xf>
    <xf numFmtId="168" fontId="0" fillId="0" borderId="39" xfId="22" applyNumberFormat="1" applyFont="1" applyBorder="1">
      <alignment/>
      <protection/>
    </xf>
    <xf numFmtId="0" fontId="3" fillId="0" borderId="40" xfId="21" applyBorder="1" applyAlignment="1">
      <alignment horizontal="center"/>
      <protection/>
    </xf>
    <xf numFmtId="0" fontId="3" fillId="0" borderId="41" xfId="21" applyBorder="1">
      <alignment/>
      <protection/>
    </xf>
    <xf numFmtId="1" fontId="3" fillId="0" borderId="41" xfId="21" applyNumberFormat="1" applyBorder="1">
      <alignment/>
      <protection/>
    </xf>
    <xf numFmtId="0" fontId="3" fillId="0" borderId="41" xfId="21" applyBorder="1" applyAlignment="1">
      <alignment horizontal="right"/>
      <protection/>
    </xf>
    <xf numFmtId="0" fontId="3" fillId="0" borderId="41" xfId="21" applyBorder="1" applyAlignment="1">
      <alignment horizontal="center"/>
      <protection/>
    </xf>
    <xf numFmtId="168" fontId="3" fillId="0" borderId="41" xfId="21" applyNumberFormat="1" applyBorder="1">
      <alignment/>
      <protection/>
    </xf>
    <xf numFmtId="168" fontId="3" fillId="0" borderId="42" xfId="21" applyNumberFormat="1" applyBorder="1">
      <alignment/>
      <protection/>
    </xf>
    <xf numFmtId="0" fontId="3" fillId="0" borderId="43" xfId="21" applyBorder="1">
      <alignment/>
      <protection/>
    </xf>
    <xf numFmtId="168" fontId="3" fillId="0" borderId="44" xfId="21" applyNumberFormat="1" applyBorder="1">
      <alignment/>
      <protection/>
    </xf>
    <xf numFmtId="49" fontId="55" fillId="0" borderId="29" xfId="23" applyNumberFormat="1" applyFont="1" applyBorder="1" applyAlignment="1">
      <alignment horizontal="center"/>
      <protection/>
    </xf>
    <xf numFmtId="0" fontId="55" fillId="0" borderId="29" xfId="23" applyFont="1" applyBorder="1" applyAlignment="1">
      <alignment horizontal="center" vertical="center"/>
      <protection/>
    </xf>
    <xf numFmtId="0" fontId="54" fillId="0" borderId="0" xfId="23" applyFont="1" applyAlignment="1">
      <alignment vertical="center"/>
      <protection/>
    </xf>
    <xf numFmtId="0" fontId="54" fillId="0" borderId="23" xfId="23" applyFont="1" applyBorder="1" applyAlignment="1">
      <alignment horizontal="left" vertical="center" wrapText="1"/>
      <protection/>
    </xf>
    <xf numFmtId="0" fontId="54" fillId="0" borderId="24" xfId="23" applyFont="1" applyBorder="1" applyAlignment="1">
      <alignment horizontal="left" vertical="center"/>
      <protection/>
    </xf>
    <xf numFmtId="0" fontId="56" fillId="0" borderId="24" xfId="23" applyFont="1" applyBorder="1" applyAlignment="1">
      <alignment horizontal="left" vertical="center" wrapText="1"/>
      <protection/>
    </xf>
    <xf numFmtId="0" fontId="56" fillId="0" borderId="24" xfId="23" applyFont="1" applyBorder="1" applyAlignment="1">
      <alignment horizontal="left" vertical="center"/>
      <protection/>
    </xf>
    <xf numFmtId="49" fontId="54" fillId="0" borderId="24" xfId="23" applyNumberFormat="1" applyFont="1" applyBorder="1" applyAlignment="1">
      <alignment horizontal="left" vertical="center"/>
      <protection/>
    </xf>
    <xf numFmtId="0" fontId="54" fillId="0" borderId="24" xfId="23" applyFont="1" applyBorder="1" applyAlignment="1">
      <alignment horizontal="left" vertical="center" wrapText="1"/>
      <protection/>
    </xf>
    <xf numFmtId="0" fontId="54" fillId="0" borderId="25" xfId="23" applyFont="1" applyBorder="1" applyAlignment="1">
      <alignment horizontal="left" vertical="center"/>
      <protection/>
    </xf>
    <xf numFmtId="0" fontId="54" fillId="0" borderId="26" xfId="23" applyFont="1" applyBorder="1" applyAlignment="1">
      <alignment vertical="center"/>
      <protection/>
    </xf>
    <xf numFmtId="0" fontId="54" fillId="0" borderId="26" xfId="23" applyFont="1" applyBorder="1" applyAlignment="1">
      <alignment horizontal="left" vertical="center"/>
      <protection/>
    </xf>
    <xf numFmtId="0" fontId="54" fillId="0" borderId="0" xfId="23" applyFont="1" applyAlignment="1">
      <alignment horizontal="left" vertical="center"/>
      <protection/>
    </xf>
    <xf numFmtId="0" fontId="56" fillId="0" borderId="0" xfId="23" applyFont="1" applyAlignment="1">
      <alignment horizontal="left" vertical="center"/>
      <protection/>
    </xf>
    <xf numFmtId="0" fontId="54" fillId="0" borderId="27" xfId="23" applyFont="1" applyBorder="1" applyAlignment="1">
      <alignment horizontal="left" vertical="center"/>
      <protection/>
    </xf>
    <xf numFmtId="0" fontId="54" fillId="0" borderId="26" xfId="23" applyFont="1" applyBorder="1" applyAlignment="1">
      <alignment horizontal="left" vertical="center" wrapText="1"/>
      <protection/>
    </xf>
    <xf numFmtId="0" fontId="54" fillId="0" borderId="0" xfId="23" applyFont="1" applyAlignment="1">
      <alignment horizontal="left" vertical="center" wrapText="1"/>
      <protection/>
    </xf>
    <xf numFmtId="49" fontId="54" fillId="0" borderId="0" xfId="23" applyNumberFormat="1" applyFont="1" applyAlignment="1">
      <alignment horizontal="left" vertical="center"/>
      <protection/>
    </xf>
    <xf numFmtId="0" fontId="54" fillId="0" borderId="45" xfId="23" applyFont="1" applyBorder="1" applyAlignment="1">
      <alignment horizontal="left" vertical="center"/>
      <protection/>
    </xf>
    <xf numFmtId="0" fontId="54" fillId="0" borderId="46" xfId="23" applyFont="1" applyBorder="1" applyAlignment="1">
      <alignment horizontal="left" vertical="center"/>
      <protection/>
    </xf>
    <xf numFmtId="0" fontId="54" fillId="0" borderId="47" xfId="23" applyFont="1" applyBorder="1" applyAlignment="1">
      <alignment horizontal="left" vertical="center"/>
      <protection/>
    </xf>
    <xf numFmtId="49" fontId="56" fillId="0" borderId="48" xfId="23" applyNumberFormat="1" applyFont="1" applyBorder="1" applyAlignment="1">
      <alignment horizontal="left" vertical="center"/>
      <protection/>
    </xf>
    <xf numFmtId="49" fontId="56" fillId="0" borderId="49" xfId="23" applyNumberFormat="1" applyFont="1" applyBorder="1" applyAlignment="1">
      <alignment horizontal="left" vertical="center"/>
      <protection/>
    </xf>
    <xf numFmtId="49" fontId="56" fillId="0" borderId="50" xfId="23" applyNumberFormat="1" applyFont="1" applyBorder="1" applyAlignment="1">
      <alignment horizontal="left" vertical="center"/>
      <protection/>
    </xf>
    <xf numFmtId="0" fontId="56" fillId="0" borderId="51" xfId="23" applyFont="1" applyBorder="1" applyAlignment="1">
      <alignment horizontal="left" vertical="center"/>
      <protection/>
    </xf>
    <xf numFmtId="49" fontId="56" fillId="0" borderId="49" xfId="23" applyNumberFormat="1" applyFont="1" applyBorder="1" applyAlignment="1">
      <alignment horizontal="center" vertical="center"/>
      <protection/>
    </xf>
    <xf numFmtId="49" fontId="56" fillId="0" borderId="52" xfId="23" applyNumberFormat="1" applyFont="1" applyBorder="1" applyAlignment="1">
      <alignment horizontal="center" vertical="center"/>
      <protection/>
    </xf>
    <xf numFmtId="49" fontId="56" fillId="0" borderId="53" xfId="23" applyNumberFormat="1" applyFont="1" applyBorder="1" applyAlignment="1">
      <alignment horizontal="center" vertical="center"/>
      <protection/>
    </xf>
    <xf numFmtId="0" fontId="56" fillId="0" borderId="54" xfId="23" applyFont="1" applyBorder="1" applyAlignment="1">
      <alignment horizontal="center" vertical="center"/>
      <protection/>
    </xf>
    <xf numFmtId="0" fontId="56" fillId="0" borderId="55" xfId="23" applyFont="1" applyBorder="1" applyAlignment="1">
      <alignment horizontal="center" vertical="center"/>
      <protection/>
    </xf>
    <xf numFmtId="49" fontId="56" fillId="0" borderId="56" xfId="23" applyNumberFormat="1" applyFont="1" applyBorder="1" applyAlignment="1">
      <alignment horizontal="center" vertical="center"/>
      <protection/>
    </xf>
    <xf numFmtId="0" fontId="54" fillId="0" borderId="57" xfId="23" applyFont="1" applyBorder="1" applyAlignment="1">
      <alignment vertical="center"/>
      <protection/>
    </xf>
    <xf numFmtId="49" fontId="57" fillId="6" borderId="0" xfId="23" applyNumberFormat="1" applyFont="1" applyFill="1" applyAlignment="1">
      <alignment horizontal="right" vertical="center"/>
      <protection/>
    </xf>
    <xf numFmtId="49" fontId="56" fillId="0" borderId="0" xfId="23" applyNumberFormat="1" applyFont="1" applyAlignment="1">
      <alignment horizontal="right" vertical="center"/>
      <protection/>
    </xf>
    <xf numFmtId="49" fontId="54" fillId="0" borderId="58" xfId="23" applyNumberFormat="1" applyFont="1" applyBorder="1" applyAlignment="1">
      <alignment horizontal="left" vertical="center"/>
      <protection/>
    </xf>
    <xf numFmtId="49" fontId="54" fillId="0" borderId="59" xfId="23" applyNumberFormat="1" applyFont="1" applyBorder="1" applyAlignment="1">
      <alignment horizontal="left" vertical="center"/>
      <protection/>
    </xf>
    <xf numFmtId="49" fontId="56" fillId="0" borderId="45" xfId="23" applyNumberFormat="1" applyFont="1" applyBorder="1" applyAlignment="1">
      <alignment horizontal="left" vertical="center"/>
      <protection/>
    </xf>
    <xf numFmtId="0" fontId="56" fillId="0" borderId="47" xfId="23" applyFont="1" applyBorder="1" applyAlignment="1">
      <alignment horizontal="left" vertical="center"/>
      <protection/>
    </xf>
    <xf numFmtId="49" fontId="56" fillId="0" borderId="60" xfId="23" applyNumberFormat="1" applyFont="1" applyBorder="1" applyAlignment="1">
      <alignment horizontal="center" vertical="center"/>
      <protection/>
    </xf>
    <xf numFmtId="49" fontId="56" fillId="0" borderId="40" xfId="23" applyNumberFormat="1" applyFont="1" applyBorder="1" applyAlignment="1">
      <alignment horizontal="center" vertical="center"/>
      <protection/>
    </xf>
    <xf numFmtId="49" fontId="56" fillId="0" borderId="41" xfId="23" applyNumberFormat="1" applyFont="1" applyBorder="1" applyAlignment="1">
      <alignment horizontal="center" vertical="center"/>
      <protection/>
    </xf>
    <xf numFmtId="49" fontId="56" fillId="0" borderId="42" xfId="23" applyNumberFormat="1" applyFont="1" applyBorder="1" applyAlignment="1">
      <alignment horizontal="center" vertical="center"/>
      <protection/>
    </xf>
    <xf numFmtId="49" fontId="56" fillId="0" borderId="44" xfId="23" applyNumberFormat="1" applyFont="1" applyBorder="1" applyAlignment="1">
      <alignment horizontal="center" vertical="center"/>
      <protection/>
    </xf>
    <xf numFmtId="49" fontId="58" fillId="6" borderId="50" xfId="23" applyNumberFormat="1" applyFont="1" applyFill="1" applyBorder="1" applyAlignment="1">
      <alignment horizontal="left" vertical="center"/>
      <protection/>
    </xf>
    <xf numFmtId="49" fontId="57" fillId="6" borderId="61" xfId="23" applyNumberFormat="1" applyFont="1" applyFill="1" applyBorder="1" applyAlignment="1">
      <alignment horizontal="left" vertical="center"/>
      <protection/>
    </xf>
    <xf numFmtId="49" fontId="57" fillId="6" borderId="61" xfId="23" applyNumberFormat="1" applyFont="1" applyFill="1" applyBorder="1" applyAlignment="1">
      <alignment horizontal="left" vertical="center"/>
      <protection/>
    </xf>
    <xf numFmtId="0" fontId="57" fillId="6" borderId="61" xfId="23" applyFont="1" applyFill="1" applyBorder="1" applyAlignment="1">
      <alignment horizontal="left" vertical="center"/>
      <protection/>
    </xf>
    <xf numFmtId="49" fontId="58" fillId="6" borderId="61" xfId="23" applyNumberFormat="1" applyFont="1" applyFill="1" applyBorder="1" applyAlignment="1">
      <alignment horizontal="left" vertical="center"/>
      <protection/>
    </xf>
    <xf numFmtId="4" fontId="57" fillId="6" borderId="61" xfId="23" applyNumberFormat="1" applyFont="1" applyFill="1" applyBorder="1" applyAlignment="1">
      <alignment horizontal="right" vertical="center"/>
      <protection/>
    </xf>
    <xf numFmtId="49" fontId="57" fillId="6" borderId="61" xfId="23" applyNumberFormat="1" applyFont="1" applyFill="1" applyBorder="1" applyAlignment="1">
      <alignment horizontal="right" vertical="center"/>
      <protection/>
    </xf>
    <xf numFmtId="49" fontId="57" fillId="6" borderId="51" xfId="23" applyNumberFormat="1" applyFont="1" applyFill="1" applyBorder="1" applyAlignment="1">
      <alignment horizontal="right" vertical="center"/>
      <protection/>
    </xf>
    <xf numFmtId="4" fontId="57" fillId="6" borderId="0" xfId="23" applyNumberFormat="1" applyFont="1" applyFill="1" applyAlignment="1">
      <alignment horizontal="right" vertical="center"/>
      <protection/>
    </xf>
    <xf numFmtId="49" fontId="59" fillId="0" borderId="26" xfId="23" applyNumberFormat="1" applyFont="1" applyBorder="1" applyAlignment="1">
      <alignment horizontal="left" vertical="center"/>
      <protection/>
    </xf>
    <xf numFmtId="49" fontId="59" fillId="0" borderId="0" xfId="23" applyNumberFormat="1" applyFont="1" applyAlignment="1">
      <alignment horizontal="left" vertical="center"/>
      <protection/>
    </xf>
    <xf numFmtId="49" fontId="59" fillId="0" borderId="0" xfId="23" applyNumberFormat="1" applyFont="1" applyAlignment="1">
      <alignment horizontal="left" vertical="center"/>
      <protection/>
    </xf>
    <xf numFmtId="0" fontId="59" fillId="0" borderId="0" xfId="23" applyFont="1" applyAlignment="1">
      <alignment horizontal="left" vertical="center"/>
      <protection/>
    </xf>
    <xf numFmtId="4" fontId="59" fillId="0" borderId="0" xfId="23" applyNumberFormat="1" applyFont="1" applyAlignment="1">
      <alignment horizontal="right" vertical="center"/>
      <protection/>
    </xf>
    <xf numFmtId="49" fontId="59" fillId="0" borderId="27" xfId="23" applyNumberFormat="1" applyFont="1" applyBorder="1" applyAlignment="1">
      <alignment horizontal="right" vertical="center"/>
      <protection/>
    </xf>
    <xf numFmtId="4" fontId="54" fillId="0" borderId="0" xfId="23" applyNumberFormat="1" applyFont="1" applyAlignment="1">
      <alignment horizontal="right" vertical="center"/>
      <protection/>
    </xf>
    <xf numFmtId="49" fontId="59" fillId="0" borderId="0" xfId="23" applyNumberFormat="1" applyFont="1" applyAlignment="1">
      <alignment horizontal="right" vertical="center"/>
      <protection/>
    </xf>
    <xf numFmtId="49" fontId="54" fillId="0" borderId="0" xfId="23" applyNumberFormat="1" applyFont="1" applyAlignment="1">
      <alignment horizontal="right" vertical="center"/>
      <protection/>
    </xf>
    <xf numFmtId="49" fontId="60" fillId="0" borderId="0" xfId="23" applyNumberFormat="1" applyFont="1" applyAlignment="1">
      <alignment horizontal="right" vertical="top"/>
      <protection/>
    </xf>
    <xf numFmtId="0" fontId="61" fillId="0" borderId="0" xfId="23" applyFont="1" applyAlignment="1">
      <alignment horizontal="left" vertical="center" wrapText="1"/>
      <protection/>
    </xf>
    <xf numFmtId="0" fontId="61" fillId="0" borderId="0" xfId="23" applyFont="1" applyAlignment="1">
      <alignment horizontal="left" vertical="center"/>
      <protection/>
    </xf>
    <xf numFmtId="0" fontId="61" fillId="0" borderId="27" xfId="23" applyFont="1" applyBorder="1" applyAlignment="1">
      <alignment horizontal="left" vertical="center"/>
      <protection/>
    </xf>
    <xf numFmtId="49" fontId="58" fillId="6" borderId="26" xfId="23" applyNumberFormat="1" applyFont="1" applyFill="1" applyBorder="1" applyAlignment="1">
      <alignment horizontal="left" vertical="center"/>
      <protection/>
    </xf>
    <xf numFmtId="49" fontId="57" fillId="6" borderId="0" xfId="23" applyNumberFormat="1" applyFont="1" applyFill="1" applyAlignment="1">
      <alignment horizontal="left" vertical="center"/>
      <protection/>
    </xf>
    <xf numFmtId="49" fontId="57" fillId="6" borderId="0" xfId="23" applyNumberFormat="1" applyFont="1" applyFill="1" applyAlignment="1">
      <alignment horizontal="left" vertical="center"/>
      <protection/>
    </xf>
    <xf numFmtId="0" fontId="57" fillId="6" borderId="0" xfId="23" applyFont="1" applyFill="1" applyAlignment="1">
      <alignment horizontal="left" vertical="center"/>
      <protection/>
    </xf>
    <xf numFmtId="49" fontId="58" fillId="6" borderId="0" xfId="23" applyNumberFormat="1" applyFont="1" applyFill="1" applyAlignment="1">
      <alignment horizontal="left" vertical="center"/>
      <protection/>
    </xf>
    <xf numFmtId="49" fontId="57" fillId="6" borderId="27" xfId="23" applyNumberFormat="1" applyFont="1" applyFill="1" applyBorder="1" applyAlignment="1">
      <alignment horizontal="right" vertical="center"/>
      <protection/>
    </xf>
    <xf numFmtId="0" fontId="54" fillId="0" borderId="28" xfId="23" applyFont="1" applyBorder="1" applyAlignment="1">
      <alignment vertical="center"/>
      <protection/>
    </xf>
    <xf numFmtId="0" fontId="54" fillId="0" borderId="29" xfId="23" applyFont="1" applyBorder="1" applyAlignment="1">
      <alignment vertical="center"/>
      <protection/>
    </xf>
    <xf numFmtId="49" fontId="60" fillId="0" borderId="29" xfId="23" applyNumberFormat="1" applyFont="1" applyBorder="1" applyAlignment="1">
      <alignment horizontal="right" vertical="top"/>
      <protection/>
    </xf>
    <xf numFmtId="0" fontId="61" fillId="0" borderId="29" xfId="23" applyFont="1" applyBorder="1" applyAlignment="1">
      <alignment horizontal="left" vertical="center" wrapText="1"/>
      <protection/>
    </xf>
    <xf numFmtId="0" fontId="61" fillId="0" borderId="29" xfId="23" applyFont="1" applyBorder="1" applyAlignment="1">
      <alignment horizontal="left" vertical="center"/>
      <protection/>
    </xf>
    <xf numFmtId="0" fontId="61" fillId="0" borderId="30" xfId="23" applyFont="1" applyBorder="1" applyAlignment="1">
      <alignment horizontal="left" vertical="center"/>
      <protection/>
    </xf>
    <xf numFmtId="0" fontId="54" fillId="0" borderId="24" xfId="23" applyFont="1" applyBorder="1" applyAlignment="1">
      <alignment vertical="center"/>
      <protection/>
    </xf>
    <xf numFmtId="49" fontId="56" fillId="0" borderId="24" xfId="23" applyNumberFormat="1" applyFont="1" applyBorder="1" applyAlignment="1">
      <alignment horizontal="left" vertical="center"/>
      <protection/>
    </xf>
    <xf numFmtId="4" fontId="56" fillId="0" borderId="24" xfId="23" applyNumberFormat="1" applyFont="1" applyBorder="1" applyAlignment="1">
      <alignment horizontal="right" vertical="center"/>
      <protection/>
    </xf>
    <xf numFmtId="49" fontId="62" fillId="0" borderId="0" xfId="23" applyNumberFormat="1" applyFont="1" applyAlignment="1">
      <alignment horizontal="left" vertical="center"/>
      <protection/>
    </xf>
    <xf numFmtId="49" fontId="63" fillId="0" borderId="26" xfId="23" applyNumberFormat="1" applyFont="1" applyBorder="1" applyAlignment="1">
      <alignment horizontal="left" vertical="center"/>
      <protection/>
    </xf>
    <xf numFmtId="49" fontId="63" fillId="0" borderId="0" xfId="23" applyNumberFormat="1" applyFont="1" applyAlignment="1">
      <alignment horizontal="left" vertical="center"/>
      <protection/>
    </xf>
    <xf numFmtId="49" fontId="63" fillId="0" borderId="0" xfId="23" applyNumberFormat="1" applyFont="1" applyAlignment="1">
      <alignment horizontal="left" vertical="center"/>
      <protection/>
    </xf>
    <xf numFmtId="0" fontId="63" fillId="0" borderId="0" xfId="23" applyFont="1" applyAlignment="1">
      <alignment horizontal="left" vertical="center"/>
      <protection/>
    </xf>
    <xf numFmtId="4" fontId="63" fillId="0" borderId="0" xfId="23" applyNumberFormat="1" applyFont="1" applyAlignment="1">
      <alignment horizontal="right" vertical="center"/>
      <protection/>
    </xf>
    <xf numFmtId="49" fontId="63" fillId="0" borderId="27" xfId="23" applyNumberFormat="1" applyFont="1" applyBorder="1" applyAlignment="1">
      <alignment horizontal="right" vertical="center"/>
      <protection/>
    </xf>
    <xf numFmtId="49" fontId="63" fillId="0" borderId="0" xfId="23" applyNumberFormat="1" applyFont="1" applyAlignment="1">
      <alignment horizontal="right" vertical="center"/>
      <protection/>
    </xf>
    <xf numFmtId="49" fontId="59" fillId="0" borderId="28" xfId="23" applyNumberFormat="1" applyFont="1" applyBorder="1" applyAlignment="1">
      <alignment horizontal="left" vertical="center"/>
      <protection/>
    </xf>
    <xf numFmtId="49" fontId="59" fillId="0" borderId="29" xfId="23" applyNumberFormat="1" applyFont="1" applyBorder="1" applyAlignment="1">
      <alignment horizontal="left" vertical="center"/>
      <protection/>
    </xf>
    <xf numFmtId="49" fontId="59" fillId="0" borderId="29" xfId="23" applyNumberFormat="1" applyFont="1" applyBorder="1" applyAlignment="1">
      <alignment horizontal="left" vertical="center"/>
      <protection/>
    </xf>
    <xf numFmtId="0" fontId="59" fillId="0" borderId="29" xfId="23" applyFont="1" applyBorder="1" applyAlignment="1">
      <alignment horizontal="left" vertical="center"/>
      <protection/>
    </xf>
    <xf numFmtId="4" fontId="59" fillId="0" borderId="29" xfId="23" applyNumberFormat="1" applyFont="1" applyBorder="1" applyAlignment="1">
      <alignment horizontal="right" vertical="center"/>
      <protection/>
    </xf>
    <xf numFmtId="49" fontId="59" fillId="0" borderId="30" xfId="23" applyNumberFormat="1" applyFont="1" applyBorder="1" applyAlignment="1">
      <alignment horizontal="right" vertical="center"/>
      <protection/>
    </xf>
  </cellXfs>
  <cellStyles count="10">
    <cellStyle name="Normal" xfId="0"/>
    <cellStyle name="Percent" xfId="15"/>
    <cellStyle name="Currency" xfId="16"/>
    <cellStyle name="Currency [0]" xfId="17"/>
    <cellStyle name="Comma" xfId="18"/>
    <cellStyle name="Comma [0]" xfId="19"/>
    <cellStyle name="Hypertextový odkaz" xfId="20"/>
    <cellStyle name="normální 2" xfId="21"/>
    <cellStyle name="Excel Built-in Normal" xfId="22"/>
    <cellStyle name="normální 3"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0</xdr:row>
      <xdr:rowOff>885825</xdr:rowOff>
    </xdr:to>
    <xdr:pic>
      <xdr:nvPicPr>
        <xdr:cNvPr id="2" name="Picture 1"/>
        <xdr:cNvPicPr preferRelativeResize="1">
          <a:picLocks noChangeAspect="1"/>
        </xdr:cNvPicPr>
      </xdr:nvPicPr>
      <xdr:blipFill>
        <a:blip r:embed="rId1"/>
        <a:stretch>
          <a:fillRect/>
        </a:stretch>
      </xdr:blipFill>
      <xdr:spPr bwMode="auto">
        <a:xfrm>
          <a:off x="0" y="0"/>
          <a:ext cx="1057275" cy="88582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0</xdr:row>
      <xdr:rowOff>885825</xdr:rowOff>
    </xdr:to>
    <xdr:pic>
      <xdr:nvPicPr>
        <xdr:cNvPr id="2" name="Picture 1"/>
        <xdr:cNvPicPr preferRelativeResize="1">
          <a:picLocks noChangeAspect="1"/>
        </xdr:cNvPicPr>
      </xdr:nvPicPr>
      <xdr:blipFill>
        <a:blip r:embed="rId1"/>
        <a:stretch>
          <a:fillRect/>
        </a:stretch>
      </xdr:blipFill>
      <xdr:spPr bwMode="auto">
        <a:xfrm>
          <a:off x="0" y="0"/>
          <a:ext cx="1057275" cy="88582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311272227" TargetMode="External" /><Relationship Id="rId2" Type="http://schemas.openxmlformats.org/officeDocument/2006/relationships/hyperlink" Target="https://podminky.urs.cz/item/CS_URS_2022_02/317142410" TargetMode="External" /><Relationship Id="rId3" Type="http://schemas.openxmlformats.org/officeDocument/2006/relationships/hyperlink" Target="https://podminky.urs.cz/item/CS_URS_2022_02/317142412" TargetMode="External" /><Relationship Id="rId4" Type="http://schemas.openxmlformats.org/officeDocument/2006/relationships/hyperlink" Target="https://podminky.urs.cz/item/CS_URS_2022_02/317142442" TargetMode="External" /><Relationship Id="rId5" Type="http://schemas.openxmlformats.org/officeDocument/2006/relationships/hyperlink" Target="https://podminky.urs.cz/item/CS_URS_2022_02/317143453" TargetMode="External" /><Relationship Id="rId6" Type="http://schemas.openxmlformats.org/officeDocument/2006/relationships/hyperlink" Target="https://podminky.urs.cz/item/CS_URS_2022_02/342272215" TargetMode="External" /><Relationship Id="rId7" Type="http://schemas.openxmlformats.org/officeDocument/2006/relationships/hyperlink" Target="https://podminky.urs.cz/item/CS_URS_2022_02/342272245" TargetMode="External" /><Relationship Id="rId8" Type="http://schemas.openxmlformats.org/officeDocument/2006/relationships/hyperlink" Target="https://podminky.urs.cz/item/CS_URS_2022_02/631319221" TargetMode="External" /><Relationship Id="rId9" Type="http://schemas.openxmlformats.org/officeDocument/2006/relationships/hyperlink" Target="https://podminky.urs.cz/item/CS_URS_2022_02/632451107" TargetMode="External" /><Relationship Id="rId10" Type="http://schemas.openxmlformats.org/officeDocument/2006/relationships/hyperlink" Target="https://podminky.urs.cz/item/CS_URS_2022_02/634112113" TargetMode="External" /><Relationship Id="rId11" Type="http://schemas.openxmlformats.org/officeDocument/2006/relationships/hyperlink" Target="https://podminky.urs.cz/item/CS_URS_2022_02/642942611" TargetMode="External" /><Relationship Id="rId12" Type="http://schemas.openxmlformats.org/officeDocument/2006/relationships/hyperlink" Target="https://podminky.urs.cz/item/CS_URS_2022_02/642945112" TargetMode="External" /><Relationship Id="rId13" Type="http://schemas.openxmlformats.org/officeDocument/2006/relationships/hyperlink" Target="https://podminky.urs.cz/item/CS_URS_2022_02/949101111" TargetMode="External" /><Relationship Id="rId14" Type="http://schemas.openxmlformats.org/officeDocument/2006/relationships/hyperlink" Target="https://podminky.urs.cz/item/CS_URS_2022_02/952901111" TargetMode="External" /><Relationship Id="rId15" Type="http://schemas.openxmlformats.org/officeDocument/2006/relationships/hyperlink" Target="https://podminky.urs.cz/item/CS_URS_2022_02/998018002" TargetMode="External" /><Relationship Id="rId16" Type="http://schemas.openxmlformats.org/officeDocument/2006/relationships/hyperlink" Target="https://podminky.urs.cz/item/CS_URS_2022_02/HZS1292" TargetMode="External" /><Relationship Id="rId1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411351011" TargetMode="External" /><Relationship Id="rId2" Type="http://schemas.openxmlformats.org/officeDocument/2006/relationships/hyperlink" Target="https://podminky.urs.cz/item/CS_URS_2022_02/411351012" TargetMode="External" /><Relationship Id="rId3" Type="http://schemas.openxmlformats.org/officeDocument/2006/relationships/hyperlink" Target="https://podminky.urs.cz/item/CS_URS_2022_02/411354313" TargetMode="External" /><Relationship Id="rId4" Type="http://schemas.openxmlformats.org/officeDocument/2006/relationships/hyperlink" Target="https://podminky.urs.cz/item/CS_URS_2022_02/411354314" TargetMode="External" /><Relationship Id="rId5" Type="http://schemas.openxmlformats.org/officeDocument/2006/relationships/hyperlink" Target="https://podminky.urs.cz/item/CS_URS_2022_02/949101111" TargetMode="External" /><Relationship Id="rId6" Type="http://schemas.openxmlformats.org/officeDocument/2006/relationships/hyperlink" Target="https://podminky.urs.cz/item/CS_URS_2022_02/952901111" TargetMode="External" /><Relationship Id="rId7" Type="http://schemas.openxmlformats.org/officeDocument/2006/relationships/hyperlink" Target="https://podminky.urs.cz/item/CS_URS_2022_02/962031133" TargetMode="External" /><Relationship Id="rId8" Type="http://schemas.openxmlformats.org/officeDocument/2006/relationships/hyperlink" Target="https://podminky.urs.cz/item/CS_URS_2022_02/962032241" TargetMode="External" /><Relationship Id="rId9" Type="http://schemas.openxmlformats.org/officeDocument/2006/relationships/hyperlink" Target="https://podminky.urs.cz/item/CS_URS_2022_02/963051113" TargetMode="External" /><Relationship Id="rId10" Type="http://schemas.openxmlformats.org/officeDocument/2006/relationships/hyperlink" Target="https://podminky.urs.cz/item/CS_URS_2022_02/965042141" TargetMode="External" /><Relationship Id="rId11" Type="http://schemas.openxmlformats.org/officeDocument/2006/relationships/hyperlink" Target="https://podminky.urs.cz/item/CS_URS_2022_02/965049111" TargetMode="External" /><Relationship Id="rId12" Type="http://schemas.openxmlformats.org/officeDocument/2006/relationships/hyperlink" Target="https://podminky.urs.cz/item/CS_URS_2022_02/965081223" TargetMode="External" /><Relationship Id="rId13" Type="http://schemas.openxmlformats.org/officeDocument/2006/relationships/hyperlink" Target="https://podminky.urs.cz/item/CS_URS_2022_02/968072455" TargetMode="External" /><Relationship Id="rId14" Type="http://schemas.openxmlformats.org/officeDocument/2006/relationships/hyperlink" Target="https://podminky.urs.cz/item/CS_URS_2022_02/968072456" TargetMode="External" /><Relationship Id="rId15" Type="http://schemas.openxmlformats.org/officeDocument/2006/relationships/hyperlink" Target="https://podminky.urs.cz/item/CS_URS_2022_02/968082015" TargetMode="External" /><Relationship Id="rId16" Type="http://schemas.openxmlformats.org/officeDocument/2006/relationships/hyperlink" Target="https://podminky.urs.cz/item/CS_URS_2022_02/968082022" TargetMode="External" /><Relationship Id="rId17" Type="http://schemas.openxmlformats.org/officeDocument/2006/relationships/hyperlink" Target="https://podminky.urs.cz/item/CS_URS_2022_02/977211112" TargetMode="External" /><Relationship Id="rId18" Type="http://schemas.openxmlformats.org/officeDocument/2006/relationships/hyperlink" Target="https://podminky.urs.cz/item/CS_URS_2022_02/978013191" TargetMode="External" /><Relationship Id="rId19" Type="http://schemas.openxmlformats.org/officeDocument/2006/relationships/hyperlink" Target="https://podminky.urs.cz/item/CS_URS_2022_02/985112132" TargetMode="External" /><Relationship Id="rId20" Type="http://schemas.openxmlformats.org/officeDocument/2006/relationships/hyperlink" Target="https://podminky.urs.cz/item/CS_URS_2022_02/985112133" TargetMode="External" /><Relationship Id="rId21" Type="http://schemas.openxmlformats.org/officeDocument/2006/relationships/hyperlink" Target="https://podminky.urs.cz/item/CS_URS_2022_02/985121122" TargetMode="External" /><Relationship Id="rId22" Type="http://schemas.openxmlformats.org/officeDocument/2006/relationships/hyperlink" Target="https://podminky.urs.cz/item/CS_URS_2022_02/985131311" TargetMode="External" /><Relationship Id="rId23" Type="http://schemas.openxmlformats.org/officeDocument/2006/relationships/hyperlink" Target="https://podminky.urs.cz/item/CS_URS_2022_02/985311312" TargetMode="External" /><Relationship Id="rId24" Type="http://schemas.openxmlformats.org/officeDocument/2006/relationships/hyperlink" Target="https://podminky.urs.cz/item/CS_URS_2022_02/985311314" TargetMode="External" /><Relationship Id="rId25" Type="http://schemas.openxmlformats.org/officeDocument/2006/relationships/hyperlink" Target="https://podminky.urs.cz/item/CS_URS_2022_02/985312131" TargetMode="External" /><Relationship Id="rId26" Type="http://schemas.openxmlformats.org/officeDocument/2006/relationships/hyperlink" Target="https://podminky.urs.cz/item/CS_URS_2022_02/985321112" TargetMode="External" /><Relationship Id="rId27" Type="http://schemas.openxmlformats.org/officeDocument/2006/relationships/hyperlink" Target="https://podminky.urs.cz/item/CS_URS_2022_02/985323111" TargetMode="External" /><Relationship Id="rId28" Type="http://schemas.openxmlformats.org/officeDocument/2006/relationships/hyperlink" Target="https://podminky.urs.cz/item/CS_URS_2022_02/985331213" TargetMode="External" /><Relationship Id="rId29" Type="http://schemas.openxmlformats.org/officeDocument/2006/relationships/hyperlink" Target="https://podminky.urs.cz/item/CS_URS_2022_02/985331217" TargetMode="External" /><Relationship Id="rId30" Type="http://schemas.openxmlformats.org/officeDocument/2006/relationships/hyperlink" Target="https://podminky.urs.cz/item/CS_URS_2022_02/997013213" TargetMode="External" /><Relationship Id="rId31" Type="http://schemas.openxmlformats.org/officeDocument/2006/relationships/hyperlink" Target="https://podminky.urs.cz/item/CS_URS_2022_02/997013219" TargetMode="External" /><Relationship Id="rId32" Type="http://schemas.openxmlformats.org/officeDocument/2006/relationships/hyperlink" Target="https://podminky.urs.cz/item/CS_URS_2022_02/997013501" TargetMode="External" /><Relationship Id="rId33" Type="http://schemas.openxmlformats.org/officeDocument/2006/relationships/hyperlink" Target="https://podminky.urs.cz/item/CS_URS_2022_02/997013509" TargetMode="External" /><Relationship Id="rId34" Type="http://schemas.openxmlformats.org/officeDocument/2006/relationships/hyperlink" Target="https://podminky.urs.cz/item/CS_URS_2022_02/997013871" TargetMode="External" /><Relationship Id="rId35" Type="http://schemas.openxmlformats.org/officeDocument/2006/relationships/hyperlink" Target="https://podminky.urs.cz/item/CS_URS_2022_02/998018002" TargetMode="External" /><Relationship Id="rId36" Type="http://schemas.openxmlformats.org/officeDocument/2006/relationships/hyperlink" Target="https://podminky.urs.cz/item/CS_URS_2022_02/766691914" TargetMode="External" /><Relationship Id="rId37" Type="http://schemas.openxmlformats.org/officeDocument/2006/relationships/hyperlink" Target="https://podminky.urs.cz/item/CS_URS_2022_02/766691915" TargetMode="External" /><Relationship Id="rId38" Type="http://schemas.openxmlformats.org/officeDocument/2006/relationships/hyperlink" Target="https://podminky.urs.cz/item/CS_URS_2022_02/HZS1292" TargetMode="External" /><Relationship Id="rId39"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311272227" TargetMode="External" /><Relationship Id="rId2" Type="http://schemas.openxmlformats.org/officeDocument/2006/relationships/hyperlink" Target="https://podminky.urs.cz/item/CS_URS_2022_02/317142412" TargetMode="External" /><Relationship Id="rId3" Type="http://schemas.openxmlformats.org/officeDocument/2006/relationships/hyperlink" Target="https://podminky.urs.cz/item/CS_URS_2022_02/317142442" TargetMode="External" /><Relationship Id="rId4" Type="http://schemas.openxmlformats.org/officeDocument/2006/relationships/hyperlink" Target="https://podminky.urs.cz/item/CS_URS_2022_02/317143453" TargetMode="External" /><Relationship Id="rId5" Type="http://schemas.openxmlformats.org/officeDocument/2006/relationships/hyperlink" Target="https://podminky.urs.cz/item/CS_URS_2022_02/342271531" TargetMode="External" /><Relationship Id="rId6" Type="http://schemas.openxmlformats.org/officeDocument/2006/relationships/hyperlink" Target="https://podminky.urs.cz/item/CS_URS_2022_02/342272215" TargetMode="External" /><Relationship Id="rId7" Type="http://schemas.openxmlformats.org/officeDocument/2006/relationships/hyperlink" Target="https://podminky.urs.cz/item/CS_URS_2022_02/342272245" TargetMode="External" /><Relationship Id="rId8" Type="http://schemas.openxmlformats.org/officeDocument/2006/relationships/hyperlink" Target="https://podminky.urs.cz/item/CS_URS_2022_02/411321616" TargetMode="External" /><Relationship Id="rId9" Type="http://schemas.openxmlformats.org/officeDocument/2006/relationships/hyperlink" Target="https://podminky.urs.cz/item/CS_URS_2022_02/411351011" TargetMode="External" /><Relationship Id="rId10" Type="http://schemas.openxmlformats.org/officeDocument/2006/relationships/hyperlink" Target="https://podminky.urs.cz/item/CS_URS_2022_02/411351012" TargetMode="External" /><Relationship Id="rId11" Type="http://schemas.openxmlformats.org/officeDocument/2006/relationships/hyperlink" Target="https://podminky.urs.cz/item/CS_URS_2022_02/411354311" TargetMode="External" /><Relationship Id="rId12" Type="http://schemas.openxmlformats.org/officeDocument/2006/relationships/hyperlink" Target="https://podminky.urs.cz/item/CS_URS_2022_02/411354312" TargetMode="External" /><Relationship Id="rId13" Type="http://schemas.openxmlformats.org/officeDocument/2006/relationships/hyperlink" Target="https://podminky.urs.cz/item/CS_URS_2022_02/411362021" TargetMode="External" /><Relationship Id="rId14" Type="http://schemas.openxmlformats.org/officeDocument/2006/relationships/hyperlink" Target="https://podminky.urs.cz/item/CS_URS_2022_02/430321616" TargetMode="External" /><Relationship Id="rId15" Type="http://schemas.openxmlformats.org/officeDocument/2006/relationships/hyperlink" Target="https://podminky.urs.cz/item/CS_URS_2022_02/430361821" TargetMode="External" /><Relationship Id="rId16" Type="http://schemas.openxmlformats.org/officeDocument/2006/relationships/hyperlink" Target="https://podminky.urs.cz/item/CS_URS_2022_02/430362021" TargetMode="External" /><Relationship Id="rId17" Type="http://schemas.openxmlformats.org/officeDocument/2006/relationships/hyperlink" Target="https://podminky.urs.cz/item/CS_URS_2022_02/431351121" TargetMode="External" /><Relationship Id="rId18" Type="http://schemas.openxmlformats.org/officeDocument/2006/relationships/hyperlink" Target="https://podminky.urs.cz/item/CS_URS_2022_02/431351122" TargetMode="External" /><Relationship Id="rId19" Type="http://schemas.openxmlformats.org/officeDocument/2006/relationships/hyperlink" Target="https://podminky.urs.cz/item/CS_URS_2022_02/431351128" TargetMode="External" /><Relationship Id="rId20" Type="http://schemas.openxmlformats.org/officeDocument/2006/relationships/hyperlink" Target="https://podminky.urs.cz/item/CS_URS_2022_02/431351129" TargetMode="External" /><Relationship Id="rId21" Type="http://schemas.openxmlformats.org/officeDocument/2006/relationships/hyperlink" Target="https://podminky.urs.cz/item/CS_URS_2022_02/434351141" TargetMode="External" /><Relationship Id="rId22" Type="http://schemas.openxmlformats.org/officeDocument/2006/relationships/hyperlink" Target="https://podminky.urs.cz/item/CS_URS_2022_02/434351142" TargetMode="External" /><Relationship Id="rId23" Type="http://schemas.openxmlformats.org/officeDocument/2006/relationships/hyperlink" Target="https://podminky.urs.cz/item/CS_URS_2022_02/631319221" TargetMode="External" /><Relationship Id="rId24" Type="http://schemas.openxmlformats.org/officeDocument/2006/relationships/hyperlink" Target="https://podminky.urs.cz/item/CS_URS_2022_02/632451107" TargetMode="External" /><Relationship Id="rId25" Type="http://schemas.openxmlformats.org/officeDocument/2006/relationships/hyperlink" Target="https://podminky.urs.cz/item/CS_URS_2022_02/634112113" TargetMode="External" /><Relationship Id="rId26" Type="http://schemas.openxmlformats.org/officeDocument/2006/relationships/hyperlink" Target="https://podminky.urs.cz/item/CS_URS_2022_02/642942611" TargetMode="External" /><Relationship Id="rId27" Type="http://schemas.openxmlformats.org/officeDocument/2006/relationships/hyperlink" Target="https://podminky.urs.cz/item/CS_URS_2022_02/642942721" TargetMode="External" /><Relationship Id="rId28" Type="http://schemas.openxmlformats.org/officeDocument/2006/relationships/hyperlink" Target="https://podminky.urs.cz/item/CS_URS_2022_02/642945111" TargetMode="External" /><Relationship Id="rId29" Type="http://schemas.openxmlformats.org/officeDocument/2006/relationships/hyperlink" Target="https://podminky.urs.cz/item/CS_URS_2022_02/642945112" TargetMode="External" /><Relationship Id="rId30" Type="http://schemas.openxmlformats.org/officeDocument/2006/relationships/hyperlink" Target="https://podminky.urs.cz/item/CS_URS_2022_02/949101111" TargetMode="External" /><Relationship Id="rId31" Type="http://schemas.openxmlformats.org/officeDocument/2006/relationships/hyperlink" Target="https://podminky.urs.cz/item/CS_URS_2022_02/952901111" TargetMode="External" /><Relationship Id="rId32" Type="http://schemas.openxmlformats.org/officeDocument/2006/relationships/hyperlink" Target="https://podminky.urs.cz/item/CS_URS_2022_02/953961213" TargetMode="External" /><Relationship Id="rId33" Type="http://schemas.openxmlformats.org/officeDocument/2006/relationships/hyperlink" Target="https://podminky.urs.cz/item/CS_URS_2022_02/953965122" TargetMode="External" /><Relationship Id="rId34" Type="http://schemas.openxmlformats.org/officeDocument/2006/relationships/hyperlink" Target="https://podminky.urs.cz/item/CS_URS_2022_02/974042564" TargetMode="External" /><Relationship Id="rId35" Type="http://schemas.openxmlformats.org/officeDocument/2006/relationships/hyperlink" Target="https://podminky.urs.cz/item/CS_URS_2022_02/997013213" TargetMode="External" /><Relationship Id="rId36" Type="http://schemas.openxmlformats.org/officeDocument/2006/relationships/hyperlink" Target="https://podminky.urs.cz/item/CS_URS_2022_02/997013219" TargetMode="External" /><Relationship Id="rId37" Type="http://schemas.openxmlformats.org/officeDocument/2006/relationships/hyperlink" Target="https://podminky.urs.cz/item/CS_URS_2022_02/997013501" TargetMode="External" /><Relationship Id="rId38" Type="http://schemas.openxmlformats.org/officeDocument/2006/relationships/hyperlink" Target="https://podminky.urs.cz/item/CS_URS_2022_02/997013509" TargetMode="External" /><Relationship Id="rId39" Type="http://schemas.openxmlformats.org/officeDocument/2006/relationships/hyperlink" Target="https://podminky.urs.cz/item/CS_URS_2022_02/997013871" TargetMode="External" /><Relationship Id="rId40" Type="http://schemas.openxmlformats.org/officeDocument/2006/relationships/hyperlink" Target="https://podminky.urs.cz/item/CS_URS_2022_02/998018002" TargetMode="External" /><Relationship Id="rId41" Type="http://schemas.openxmlformats.org/officeDocument/2006/relationships/hyperlink" Target="https://podminky.urs.cz/item/CS_URS_2022_02/711141559" TargetMode="External" /><Relationship Id="rId42" Type="http://schemas.openxmlformats.org/officeDocument/2006/relationships/hyperlink" Target="https://podminky.urs.cz/item/CS_URS_2022_02/998711102" TargetMode="External" /><Relationship Id="rId43" Type="http://schemas.openxmlformats.org/officeDocument/2006/relationships/hyperlink" Target="https://podminky.urs.cz/item/CS_URS_2022_02/998711181" TargetMode="External" /><Relationship Id="rId44" Type="http://schemas.openxmlformats.org/officeDocument/2006/relationships/hyperlink" Target="https://podminky.urs.cz/item/CS_URS_2022_02/767995114" TargetMode="External" /><Relationship Id="rId45" Type="http://schemas.openxmlformats.org/officeDocument/2006/relationships/hyperlink" Target="https://podminky.urs.cz/item/CS_URS_2022_02/998767102" TargetMode="External" /><Relationship Id="rId46" Type="http://schemas.openxmlformats.org/officeDocument/2006/relationships/hyperlink" Target="https://podminky.urs.cz/item/CS_URS_2022_02/998767181" TargetMode="External" /><Relationship Id="rId47" Type="http://schemas.openxmlformats.org/officeDocument/2006/relationships/hyperlink" Target="https://podminky.urs.cz/item/CS_URS_2022_02/HZS1292" TargetMode="External" /><Relationship Id="rId48"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612131101" TargetMode="External" /><Relationship Id="rId2" Type="http://schemas.openxmlformats.org/officeDocument/2006/relationships/hyperlink" Target="https://podminky.urs.cz/item/CS_URS_2022_02/612131121" TargetMode="External" /><Relationship Id="rId3" Type="http://schemas.openxmlformats.org/officeDocument/2006/relationships/hyperlink" Target="https://podminky.urs.cz/item/CS_URS_2022_02/612131121" TargetMode="External" /><Relationship Id="rId4" Type="http://schemas.openxmlformats.org/officeDocument/2006/relationships/hyperlink" Target="https://podminky.urs.cz/item/CS_URS_2022_02/612142001" TargetMode="External" /><Relationship Id="rId5" Type="http://schemas.openxmlformats.org/officeDocument/2006/relationships/hyperlink" Target="https://podminky.urs.cz/item/CS_URS_2022_02/612321121" TargetMode="External" /><Relationship Id="rId6" Type="http://schemas.openxmlformats.org/officeDocument/2006/relationships/hyperlink" Target="https://podminky.urs.cz/item/CS_URS_2022_02/612321191" TargetMode="External" /><Relationship Id="rId7" Type="http://schemas.openxmlformats.org/officeDocument/2006/relationships/hyperlink" Target="https://podminky.urs.cz/item/CS_URS_2022_02/612325111" TargetMode="External" /><Relationship Id="rId8" Type="http://schemas.openxmlformats.org/officeDocument/2006/relationships/hyperlink" Target="https://podminky.urs.cz/item/CS_URS_2022_02/612381006" TargetMode="External" /><Relationship Id="rId9" Type="http://schemas.openxmlformats.org/officeDocument/2006/relationships/hyperlink" Target="https://podminky.urs.cz/item/CS_URS_2022_02/613131121" TargetMode="External" /><Relationship Id="rId10" Type="http://schemas.openxmlformats.org/officeDocument/2006/relationships/hyperlink" Target="https://podminky.urs.cz/item/CS_URS_2022_02/613131121" TargetMode="External" /><Relationship Id="rId11" Type="http://schemas.openxmlformats.org/officeDocument/2006/relationships/hyperlink" Target="https://podminky.urs.cz/item/CS_URS_2022_02/613142001" TargetMode="External" /><Relationship Id="rId12" Type="http://schemas.openxmlformats.org/officeDocument/2006/relationships/hyperlink" Target="https://podminky.urs.cz/item/CS_URS_2022_02/613381006" TargetMode="External" /><Relationship Id="rId13" Type="http://schemas.openxmlformats.org/officeDocument/2006/relationships/hyperlink" Target="https://podminky.urs.cz/item/CS_URS_2022_02/632441223" TargetMode="External" /><Relationship Id="rId14" Type="http://schemas.openxmlformats.org/officeDocument/2006/relationships/hyperlink" Target="https://podminky.urs.cz/item/CS_URS_2022_02/632441225" TargetMode="External" /><Relationship Id="rId15" Type="http://schemas.openxmlformats.org/officeDocument/2006/relationships/hyperlink" Target="https://podminky.urs.cz/item/CS_URS_2022_02/632441293" TargetMode="External" /><Relationship Id="rId16" Type="http://schemas.openxmlformats.org/officeDocument/2006/relationships/hyperlink" Target="https://podminky.urs.cz/item/CS_URS_2022_02/632481213" TargetMode="External" /><Relationship Id="rId17" Type="http://schemas.openxmlformats.org/officeDocument/2006/relationships/hyperlink" Target="https://podminky.urs.cz/item/CS_URS_2022_02/634112112" TargetMode="External" /><Relationship Id="rId18" Type="http://schemas.openxmlformats.org/officeDocument/2006/relationships/hyperlink" Target="https://podminky.urs.cz/item/CS_URS_2022_02/949101111" TargetMode="External" /><Relationship Id="rId19" Type="http://schemas.openxmlformats.org/officeDocument/2006/relationships/hyperlink" Target="https://podminky.urs.cz/item/CS_URS_2022_02/952901111" TargetMode="External" /><Relationship Id="rId20" Type="http://schemas.openxmlformats.org/officeDocument/2006/relationships/hyperlink" Target="https://podminky.urs.cz/item/CS_URS_2022_02/974031143" TargetMode="External" /><Relationship Id="rId21" Type="http://schemas.openxmlformats.org/officeDocument/2006/relationships/hyperlink" Target="https://podminky.urs.cz/item/CS_URS_2022_02/974031153" TargetMode="External" /><Relationship Id="rId22" Type="http://schemas.openxmlformats.org/officeDocument/2006/relationships/hyperlink" Target="https://podminky.urs.cz/item/CS_URS_2022_02/974031164" TargetMode="External" /><Relationship Id="rId23" Type="http://schemas.openxmlformats.org/officeDocument/2006/relationships/hyperlink" Target="https://podminky.urs.cz/item/CS_URS_2022_02/997013213" TargetMode="External" /><Relationship Id="rId24" Type="http://schemas.openxmlformats.org/officeDocument/2006/relationships/hyperlink" Target="https://podminky.urs.cz/item/CS_URS_2022_02/997013219" TargetMode="External" /><Relationship Id="rId25" Type="http://schemas.openxmlformats.org/officeDocument/2006/relationships/hyperlink" Target="https://podminky.urs.cz/item/CS_URS_2022_02/997013501" TargetMode="External" /><Relationship Id="rId26" Type="http://schemas.openxmlformats.org/officeDocument/2006/relationships/hyperlink" Target="https://podminky.urs.cz/item/CS_URS_2022_02/997013509" TargetMode="External" /><Relationship Id="rId27" Type="http://schemas.openxmlformats.org/officeDocument/2006/relationships/hyperlink" Target="https://podminky.urs.cz/item/CS_URS_2022_02/997013871" TargetMode="External" /><Relationship Id="rId28" Type="http://schemas.openxmlformats.org/officeDocument/2006/relationships/hyperlink" Target="https://podminky.urs.cz/item/CS_URS_2022_02/998018002" TargetMode="External" /><Relationship Id="rId29" Type="http://schemas.openxmlformats.org/officeDocument/2006/relationships/hyperlink" Target="https://podminky.urs.cz/item/CS_URS_2022_02/713121111" TargetMode="External" /><Relationship Id="rId30" Type="http://schemas.openxmlformats.org/officeDocument/2006/relationships/hyperlink" Target="https://podminky.urs.cz/item/CS_URS_2022_02/998713102" TargetMode="External" /><Relationship Id="rId31" Type="http://schemas.openxmlformats.org/officeDocument/2006/relationships/hyperlink" Target="https://podminky.urs.cz/item/CS_URS_2022_02/998713181" TargetMode="External" /><Relationship Id="rId32" Type="http://schemas.openxmlformats.org/officeDocument/2006/relationships/hyperlink" Target="https://podminky.urs.cz/item/CS_URS_2022_02/766622132" TargetMode="External" /><Relationship Id="rId33" Type="http://schemas.openxmlformats.org/officeDocument/2006/relationships/hyperlink" Target="https://podminky.urs.cz/item/CS_URS_2022_02/766622216" TargetMode="External" /><Relationship Id="rId34" Type="http://schemas.openxmlformats.org/officeDocument/2006/relationships/hyperlink" Target="https://podminky.urs.cz/item/CS_URS_2022_02/766660411" TargetMode="External" /><Relationship Id="rId35" Type="http://schemas.openxmlformats.org/officeDocument/2006/relationships/hyperlink" Target="https://podminky.urs.cz/item/CS_URS_2022_02/766660451" TargetMode="External" /><Relationship Id="rId36" Type="http://schemas.openxmlformats.org/officeDocument/2006/relationships/hyperlink" Target="https://podminky.urs.cz/item/CS_URS_2022_02/998766102" TargetMode="External" /><Relationship Id="rId37" Type="http://schemas.openxmlformats.org/officeDocument/2006/relationships/hyperlink" Target="https://podminky.urs.cz/item/CS_URS_2022_02/998766181" TargetMode="External" /><Relationship Id="rId38" Type="http://schemas.openxmlformats.org/officeDocument/2006/relationships/hyperlink" Target="https://podminky.urs.cz/item/CS_URS_2022_02/HZS1292" TargetMode="External" /><Relationship Id="rId39"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2/113107142" TargetMode="External" /><Relationship Id="rId2" Type="http://schemas.openxmlformats.org/officeDocument/2006/relationships/hyperlink" Target="https://podminky.urs.cz/item/CS_URS_2022_02/131213701" TargetMode="External" /><Relationship Id="rId3" Type="http://schemas.openxmlformats.org/officeDocument/2006/relationships/hyperlink" Target="https://podminky.urs.cz/item/CS_URS_2022_02/132212131"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71201231" TargetMode="External" /><Relationship Id="rId7" Type="http://schemas.openxmlformats.org/officeDocument/2006/relationships/hyperlink" Target="https://podminky.urs.cz/item/CS_URS_2022_02/171251201" TargetMode="External" /><Relationship Id="rId8" Type="http://schemas.openxmlformats.org/officeDocument/2006/relationships/hyperlink" Target="https://podminky.urs.cz/item/CS_URS_2022_02/274313711" TargetMode="External" /><Relationship Id="rId9" Type="http://schemas.openxmlformats.org/officeDocument/2006/relationships/hyperlink" Target="https://podminky.urs.cz/item/CS_URS_2022_02/275313711" TargetMode="External" /><Relationship Id="rId10" Type="http://schemas.openxmlformats.org/officeDocument/2006/relationships/hyperlink" Target="https://podminky.urs.cz/item/CS_URS_2022_02/311270731" TargetMode="External" /><Relationship Id="rId11" Type="http://schemas.openxmlformats.org/officeDocument/2006/relationships/hyperlink" Target="https://podminky.urs.cz/item/CS_URS_2022_02/430321616" TargetMode="External" /><Relationship Id="rId12" Type="http://schemas.openxmlformats.org/officeDocument/2006/relationships/hyperlink" Target="https://podminky.urs.cz/item/CS_URS_2022_02/430362021" TargetMode="External" /><Relationship Id="rId13" Type="http://schemas.openxmlformats.org/officeDocument/2006/relationships/hyperlink" Target="https://podminky.urs.cz/item/CS_URS_2022_02/431351121" TargetMode="External" /><Relationship Id="rId14" Type="http://schemas.openxmlformats.org/officeDocument/2006/relationships/hyperlink" Target="https://podminky.urs.cz/item/CS_URS_2022_02/431351122" TargetMode="External" /><Relationship Id="rId15" Type="http://schemas.openxmlformats.org/officeDocument/2006/relationships/hyperlink" Target="https://podminky.urs.cz/item/CS_URS_2022_02/434351141" TargetMode="External" /><Relationship Id="rId16" Type="http://schemas.openxmlformats.org/officeDocument/2006/relationships/hyperlink" Target="https://podminky.urs.cz/item/CS_URS_2022_02/434351142" TargetMode="External" /><Relationship Id="rId17" Type="http://schemas.openxmlformats.org/officeDocument/2006/relationships/hyperlink" Target="https://podminky.urs.cz/item/CS_URS_2022_02/621211041" TargetMode="External" /><Relationship Id="rId18" Type="http://schemas.openxmlformats.org/officeDocument/2006/relationships/hyperlink" Target="https://podminky.urs.cz/item/CS_URS_2022_02/622151011" TargetMode="External" /><Relationship Id="rId19" Type="http://schemas.openxmlformats.org/officeDocument/2006/relationships/hyperlink" Target="https://podminky.urs.cz/item/CS_URS_2022_02/622151021" TargetMode="External" /><Relationship Id="rId20" Type="http://schemas.openxmlformats.org/officeDocument/2006/relationships/hyperlink" Target="https://podminky.urs.cz/item/CS_URS_2022_02/622211041" TargetMode="External" /><Relationship Id="rId21" Type="http://schemas.openxmlformats.org/officeDocument/2006/relationships/hyperlink" Target="https://podminky.urs.cz/item/CS_URS_2022_02/622211041" TargetMode="External" /><Relationship Id="rId22" Type="http://schemas.openxmlformats.org/officeDocument/2006/relationships/hyperlink" Target="https://podminky.urs.cz/item/CS_URS_2022_02/622221131" TargetMode="External" /><Relationship Id="rId23" Type="http://schemas.openxmlformats.org/officeDocument/2006/relationships/hyperlink" Target="https://podminky.urs.cz/item/CS_URS_2022_02/622221141" TargetMode="External" /><Relationship Id="rId24" Type="http://schemas.openxmlformats.org/officeDocument/2006/relationships/hyperlink" Target="https://podminky.urs.cz/item/CS_URS_2022_02/622222051" TargetMode="External" /><Relationship Id="rId25" Type="http://schemas.openxmlformats.org/officeDocument/2006/relationships/hyperlink" Target="https://podminky.urs.cz/item/CS_URS_2022_02/622251101" TargetMode="External" /><Relationship Id="rId26" Type="http://schemas.openxmlformats.org/officeDocument/2006/relationships/hyperlink" Target="https://podminky.urs.cz/item/CS_URS_2022_02/622251105" TargetMode="External" /><Relationship Id="rId27" Type="http://schemas.openxmlformats.org/officeDocument/2006/relationships/hyperlink" Target="https://podminky.urs.cz/item/CS_URS_2022_02/622252001" TargetMode="External" /><Relationship Id="rId28" Type="http://schemas.openxmlformats.org/officeDocument/2006/relationships/hyperlink" Target="https://podminky.urs.cz/item/CS_URS_2022_02/622252002" TargetMode="External" /><Relationship Id="rId29" Type="http://schemas.openxmlformats.org/officeDocument/2006/relationships/hyperlink" Target="https://podminky.urs.cz/item/CS_URS_2022_02/622321121" TargetMode="External" /><Relationship Id="rId30" Type="http://schemas.openxmlformats.org/officeDocument/2006/relationships/hyperlink" Target="https://podminky.urs.cz/item/CS_URS_2022_02/622321191" TargetMode="External" /><Relationship Id="rId31" Type="http://schemas.openxmlformats.org/officeDocument/2006/relationships/hyperlink" Target="https://podminky.urs.cz/item/CS_URS_2022_02/622511112" TargetMode="External" /><Relationship Id="rId32" Type="http://schemas.openxmlformats.org/officeDocument/2006/relationships/hyperlink" Target="https://podminky.urs.cz/item/CS_URS_2022_02/622531022" TargetMode="External" /><Relationship Id="rId33" Type="http://schemas.openxmlformats.org/officeDocument/2006/relationships/hyperlink" Target="https://podminky.urs.cz/item/CS_URS_2022_02/632451457" TargetMode="External" /><Relationship Id="rId34" Type="http://schemas.openxmlformats.org/officeDocument/2006/relationships/hyperlink" Target="https://podminky.urs.cz/item/CS_URS_2022_02/632451491" TargetMode="External" /><Relationship Id="rId35" Type="http://schemas.openxmlformats.org/officeDocument/2006/relationships/hyperlink" Target="https://podminky.urs.cz/item/CS_URS_2022_02/635111115" TargetMode="External" /><Relationship Id="rId36" Type="http://schemas.openxmlformats.org/officeDocument/2006/relationships/hyperlink" Target="https://podminky.urs.cz/item/CS_URS_2022_02/941221111" TargetMode="External" /><Relationship Id="rId37" Type="http://schemas.openxmlformats.org/officeDocument/2006/relationships/hyperlink" Target="https://podminky.urs.cz/item/CS_URS_2022_02/941221211" TargetMode="External" /><Relationship Id="rId38" Type="http://schemas.openxmlformats.org/officeDocument/2006/relationships/hyperlink" Target="https://podminky.urs.cz/item/CS_URS_2022_02/941221811" TargetMode="External" /><Relationship Id="rId39" Type="http://schemas.openxmlformats.org/officeDocument/2006/relationships/hyperlink" Target="https://podminky.urs.cz/item/CS_URS_2022_02/944511111" TargetMode="External" /><Relationship Id="rId40" Type="http://schemas.openxmlformats.org/officeDocument/2006/relationships/hyperlink" Target="https://podminky.urs.cz/item/CS_URS_2022_02/944511211" TargetMode="External" /><Relationship Id="rId41" Type="http://schemas.openxmlformats.org/officeDocument/2006/relationships/hyperlink" Target="https://podminky.urs.cz/item/CS_URS_2022_02/944511811" TargetMode="External" /><Relationship Id="rId42" Type="http://schemas.openxmlformats.org/officeDocument/2006/relationships/hyperlink" Target="https://podminky.urs.cz/item/CS_URS_2022_02/949101111" TargetMode="External" /><Relationship Id="rId43" Type="http://schemas.openxmlformats.org/officeDocument/2006/relationships/hyperlink" Target="https://podminky.urs.cz/item/CS_URS_2022_02/952901111" TargetMode="External" /><Relationship Id="rId44" Type="http://schemas.openxmlformats.org/officeDocument/2006/relationships/hyperlink" Target="https://podminky.urs.cz/item/CS_URS_2022_02/953961112" TargetMode="External" /><Relationship Id="rId45" Type="http://schemas.openxmlformats.org/officeDocument/2006/relationships/hyperlink" Target="https://podminky.urs.cz/item/CS_URS_2022_02/953965117" TargetMode="External" /><Relationship Id="rId46" Type="http://schemas.openxmlformats.org/officeDocument/2006/relationships/hyperlink" Target="https://podminky.urs.cz/item/CS_URS_2022_02/961055111" TargetMode="External" /><Relationship Id="rId47" Type="http://schemas.openxmlformats.org/officeDocument/2006/relationships/hyperlink" Target="https://podminky.urs.cz/item/CS_URS_2022_02/965042141" TargetMode="External" /><Relationship Id="rId48" Type="http://schemas.openxmlformats.org/officeDocument/2006/relationships/hyperlink" Target="https://podminky.urs.cz/item/CS_URS_2022_02/965081223" TargetMode="External" /><Relationship Id="rId49" Type="http://schemas.openxmlformats.org/officeDocument/2006/relationships/hyperlink" Target="https://podminky.urs.cz/item/CS_URS_2022_02/965081343" TargetMode="External" /><Relationship Id="rId50" Type="http://schemas.openxmlformats.org/officeDocument/2006/relationships/hyperlink" Target="https://podminky.urs.cz/item/CS_URS_2022_02/966080105" TargetMode="External" /><Relationship Id="rId51" Type="http://schemas.openxmlformats.org/officeDocument/2006/relationships/hyperlink" Target="https://podminky.urs.cz/item/CS_URS_2022_02/976071111" TargetMode="External" /><Relationship Id="rId52" Type="http://schemas.openxmlformats.org/officeDocument/2006/relationships/hyperlink" Target="https://podminky.urs.cz/item/CS_URS_2022_02/985112132" TargetMode="External" /><Relationship Id="rId53" Type="http://schemas.openxmlformats.org/officeDocument/2006/relationships/hyperlink" Target="https://podminky.urs.cz/item/CS_URS_2022_02/985112133" TargetMode="External" /><Relationship Id="rId54" Type="http://schemas.openxmlformats.org/officeDocument/2006/relationships/hyperlink" Target="https://podminky.urs.cz/item/CS_URS_2022_02/985121122" TargetMode="External" /><Relationship Id="rId55" Type="http://schemas.openxmlformats.org/officeDocument/2006/relationships/hyperlink" Target="https://podminky.urs.cz/item/CS_URS_2022_02/985131311" TargetMode="External" /><Relationship Id="rId56" Type="http://schemas.openxmlformats.org/officeDocument/2006/relationships/hyperlink" Target="https://podminky.urs.cz/item/CS_URS_2022_02/985311312" TargetMode="External" /><Relationship Id="rId57" Type="http://schemas.openxmlformats.org/officeDocument/2006/relationships/hyperlink" Target="https://podminky.urs.cz/item/CS_URS_2022_02/985311314" TargetMode="External" /><Relationship Id="rId58" Type="http://schemas.openxmlformats.org/officeDocument/2006/relationships/hyperlink" Target="https://podminky.urs.cz/item/CS_URS_2022_02/985321112" TargetMode="External" /><Relationship Id="rId59" Type="http://schemas.openxmlformats.org/officeDocument/2006/relationships/hyperlink" Target="https://podminky.urs.cz/item/CS_URS_2022_02/985323111" TargetMode="External" /><Relationship Id="rId60" Type="http://schemas.openxmlformats.org/officeDocument/2006/relationships/hyperlink" Target="https://podminky.urs.cz/item/CS_URS_2022_02/985331213" TargetMode="External" /><Relationship Id="rId61" Type="http://schemas.openxmlformats.org/officeDocument/2006/relationships/hyperlink" Target="https://podminky.urs.cz/item/CS_URS_2022_02/997013213" TargetMode="External" /><Relationship Id="rId62" Type="http://schemas.openxmlformats.org/officeDocument/2006/relationships/hyperlink" Target="https://podminky.urs.cz/item/CS_URS_2022_02/997013219" TargetMode="External" /><Relationship Id="rId63" Type="http://schemas.openxmlformats.org/officeDocument/2006/relationships/hyperlink" Target="https://podminky.urs.cz/item/CS_URS_2022_02/997013501" TargetMode="External" /><Relationship Id="rId64" Type="http://schemas.openxmlformats.org/officeDocument/2006/relationships/hyperlink" Target="https://podminky.urs.cz/item/CS_URS_2022_02/997013509" TargetMode="External" /><Relationship Id="rId65" Type="http://schemas.openxmlformats.org/officeDocument/2006/relationships/hyperlink" Target="https://podminky.urs.cz/item/CS_URS_2022_02/997013871" TargetMode="External" /><Relationship Id="rId66" Type="http://schemas.openxmlformats.org/officeDocument/2006/relationships/hyperlink" Target="https://podminky.urs.cz/item/CS_URS_2022_02/998018002" TargetMode="External" /><Relationship Id="rId67" Type="http://schemas.openxmlformats.org/officeDocument/2006/relationships/hyperlink" Target="https://podminky.urs.cz/item/CS_URS_2022_02/711191201" TargetMode="External" /><Relationship Id="rId68" Type="http://schemas.openxmlformats.org/officeDocument/2006/relationships/hyperlink" Target="https://podminky.urs.cz/item/CS_URS_2022_02/998711102" TargetMode="External" /><Relationship Id="rId69" Type="http://schemas.openxmlformats.org/officeDocument/2006/relationships/hyperlink" Target="https://podminky.urs.cz/item/CS_URS_2022_02/998711181" TargetMode="External" /><Relationship Id="rId70" Type="http://schemas.openxmlformats.org/officeDocument/2006/relationships/hyperlink" Target="https://podminky.urs.cz/item/CS_URS_2022_02/712331111" TargetMode="External" /><Relationship Id="rId71" Type="http://schemas.openxmlformats.org/officeDocument/2006/relationships/hyperlink" Target="https://podminky.urs.cz/item/CS_URS_2022_02/712341559" TargetMode="External" /><Relationship Id="rId72" Type="http://schemas.openxmlformats.org/officeDocument/2006/relationships/hyperlink" Target="https://podminky.urs.cz/item/CS_URS_2022_02/712341715" TargetMode="External" /><Relationship Id="rId73" Type="http://schemas.openxmlformats.org/officeDocument/2006/relationships/hyperlink" Target="https://podminky.urs.cz/item/CS_URS_2022_02/712341716" TargetMode="External" /><Relationship Id="rId74" Type="http://schemas.openxmlformats.org/officeDocument/2006/relationships/hyperlink" Target="https://podminky.urs.cz/item/CS_URS_2022_02/712363604" TargetMode="External" /><Relationship Id="rId75" Type="http://schemas.openxmlformats.org/officeDocument/2006/relationships/hyperlink" Target="https://podminky.urs.cz/item/CS_URS_2022_02/712363605" TargetMode="External" /><Relationship Id="rId76" Type="http://schemas.openxmlformats.org/officeDocument/2006/relationships/hyperlink" Target="https://podminky.urs.cz/item/CS_URS_2022_02/712363606" TargetMode="External" /><Relationship Id="rId77" Type="http://schemas.openxmlformats.org/officeDocument/2006/relationships/hyperlink" Target="https://podminky.urs.cz/item/CS_URS_2022_02/998712102" TargetMode="External" /><Relationship Id="rId78" Type="http://schemas.openxmlformats.org/officeDocument/2006/relationships/hyperlink" Target="https://podminky.urs.cz/item/CS_URS_2022_02/998712181" TargetMode="External" /><Relationship Id="rId79" Type="http://schemas.openxmlformats.org/officeDocument/2006/relationships/hyperlink" Target="https://podminky.urs.cz/item/CS_URS_2022_02/713141131" TargetMode="External" /><Relationship Id="rId80" Type="http://schemas.openxmlformats.org/officeDocument/2006/relationships/hyperlink" Target="https://podminky.urs.cz/item/CS_URS_2022_02/713141131" TargetMode="External" /><Relationship Id="rId81" Type="http://schemas.openxmlformats.org/officeDocument/2006/relationships/hyperlink" Target="https://podminky.urs.cz/item/CS_URS_2022_02/713141263" TargetMode="External" /><Relationship Id="rId82" Type="http://schemas.openxmlformats.org/officeDocument/2006/relationships/hyperlink" Target="https://podminky.urs.cz/item/CS_URS_2022_02/713141391" TargetMode="External" /><Relationship Id="rId83" Type="http://schemas.openxmlformats.org/officeDocument/2006/relationships/hyperlink" Target="https://podminky.urs.cz/item/CS_URS_2022_02/998713102" TargetMode="External" /><Relationship Id="rId84" Type="http://schemas.openxmlformats.org/officeDocument/2006/relationships/hyperlink" Target="https://podminky.urs.cz/item/CS_URS_2022_02/998713181" TargetMode="External" /><Relationship Id="rId85" Type="http://schemas.openxmlformats.org/officeDocument/2006/relationships/hyperlink" Target="https://podminky.urs.cz/item/CS_URS_2022_02/721233213" TargetMode="External" /><Relationship Id="rId86" Type="http://schemas.openxmlformats.org/officeDocument/2006/relationships/hyperlink" Target="https://podminky.urs.cz/item/CS_URS_2022_02/998721102" TargetMode="External" /><Relationship Id="rId87" Type="http://schemas.openxmlformats.org/officeDocument/2006/relationships/hyperlink" Target="https://podminky.urs.cz/item/CS_URS_2022_02/998721181" TargetMode="External" /><Relationship Id="rId88" Type="http://schemas.openxmlformats.org/officeDocument/2006/relationships/hyperlink" Target="https://podminky.urs.cz/item/CS_URS_2022_02/762361312" TargetMode="External" /><Relationship Id="rId89" Type="http://schemas.openxmlformats.org/officeDocument/2006/relationships/hyperlink" Target="https://podminky.urs.cz/item/CS_URS_2022_02/998762102" TargetMode="External" /><Relationship Id="rId90" Type="http://schemas.openxmlformats.org/officeDocument/2006/relationships/hyperlink" Target="https://podminky.urs.cz/item/CS_URS_2022_02/998762181" TargetMode="External" /><Relationship Id="rId91" Type="http://schemas.openxmlformats.org/officeDocument/2006/relationships/hyperlink" Target="https://podminky.urs.cz/item/CS_URS_2022_02/764212637" TargetMode="External" /><Relationship Id="rId92" Type="http://schemas.openxmlformats.org/officeDocument/2006/relationships/hyperlink" Target="https://podminky.urs.cz/item/CS_URS_2022_02/764226444" TargetMode="External" /><Relationship Id="rId93" Type="http://schemas.openxmlformats.org/officeDocument/2006/relationships/hyperlink" Target="https://podminky.urs.cz/item/CS_URS_2022_02/764226465" TargetMode="External" /><Relationship Id="rId94" Type="http://schemas.openxmlformats.org/officeDocument/2006/relationships/hyperlink" Target="https://podminky.urs.cz/item/CS_URS_2022_02/764311606" TargetMode="External" /><Relationship Id="rId95" Type="http://schemas.openxmlformats.org/officeDocument/2006/relationships/hyperlink" Target="https://podminky.urs.cz/item/CS_URS_2022_02/998764102" TargetMode="External" /><Relationship Id="rId96" Type="http://schemas.openxmlformats.org/officeDocument/2006/relationships/hyperlink" Target="https://podminky.urs.cz/item/CS_URS_2022_02/998764181" TargetMode="External" /><Relationship Id="rId97" Type="http://schemas.openxmlformats.org/officeDocument/2006/relationships/hyperlink" Target="https://podminky.urs.cz/item/CS_URS_2022_02/767210151" TargetMode="External" /><Relationship Id="rId98" Type="http://schemas.openxmlformats.org/officeDocument/2006/relationships/hyperlink" Target="https://podminky.urs.cz/item/CS_URS_2022_02/767211311" TargetMode="External" /><Relationship Id="rId99" Type="http://schemas.openxmlformats.org/officeDocument/2006/relationships/hyperlink" Target="https://podminky.urs.cz/item/CS_URS_2022_02/767220420" TargetMode="External" /><Relationship Id="rId100" Type="http://schemas.openxmlformats.org/officeDocument/2006/relationships/hyperlink" Target="https://podminky.urs.cz/item/CS_URS_2022_02/767316311" TargetMode="External" /><Relationship Id="rId101" Type="http://schemas.openxmlformats.org/officeDocument/2006/relationships/hyperlink" Target="https://podminky.urs.cz/item/CS_URS_2022_02/998767102" TargetMode="External" /><Relationship Id="rId102" Type="http://schemas.openxmlformats.org/officeDocument/2006/relationships/hyperlink" Target="https://podminky.urs.cz/item/CS_URS_2022_02/998767181" TargetMode="External" /><Relationship Id="rId103" Type="http://schemas.openxmlformats.org/officeDocument/2006/relationships/hyperlink" Target="https://podminky.urs.cz/item/CS_URS_2022_02/771111011" TargetMode="External" /><Relationship Id="rId104" Type="http://schemas.openxmlformats.org/officeDocument/2006/relationships/hyperlink" Target="https://podminky.urs.cz/item/CS_URS_2022_02/771121011" TargetMode="External" /><Relationship Id="rId105" Type="http://schemas.openxmlformats.org/officeDocument/2006/relationships/hyperlink" Target="https://podminky.urs.cz/item/CS_URS_2022_02/771161023" TargetMode="External" /><Relationship Id="rId106" Type="http://schemas.openxmlformats.org/officeDocument/2006/relationships/hyperlink" Target="https://podminky.urs.cz/item/CS_URS_2022_02/771274123" TargetMode="External" /><Relationship Id="rId107" Type="http://schemas.openxmlformats.org/officeDocument/2006/relationships/hyperlink" Target="https://podminky.urs.cz/item/CS_URS_2022_02/771274241" TargetMode="External" /><Relationship Id="rId108" Type="http://schemas.openxmlformats.org/officeDocument/2006/relationships/hyperlink" Target="https://podminky.urs.cz/item/CS_URS_2022_02/771474113" TargetMode="External" /><Relationship Id="rId109" Type="http://schemas.openxmlformats.org/officeDocument/2006/relationships/hyperlink" Target="https://podminky.urs.cz/item/CS_URS_2022_02/771574266" TargetMode="External" /><Relationship Id="rId110" Type="http://schemas.openxmlformats.org/officeDocument/2006/relationships/hyperlink" Target="https://podminky.urs.cz/item/CS_URS_2022_02/771577114" TargetMode="External" /><Relationship Id="rId111" Type="http://schemas.openxmlformats.org/officeDocument/2006/relationships/hyperlink" Target="https://podminky.urs.cz/item/CS_URS_2022_02/771591241" TargetMode="External" /><Relationship Id="rId112" Type="http://schemas.openxmlformats.org/officeDocument/2006/relationships/hyperlink" Target="https://podminky.urs.cz/item/CS_URS_2022_02/771591242" TargetMode="External" /><Relationship Id="rId113" Type="http://schemas.openxmlformats.org/officeDocument/2006/relationships/hyperlink" Target="https://podminky.urs.cz/item/CS_URS_2022_02/771591264" TargetMode="External" /><Relationship Id="rId114" Type="http://schemas.openxmlformats.org/officeDocument/2006/relationships/hyperlink" Target="https://podminky.urs.cz/item/CS_URS_2022_02/998771102" TargetMode="External" /><Relationship Id="rId115" Type="http://schemas.openxmlformats.org/officeDocument/2006/relationships/hyperlink" Target="https://podminky.urs.cz/item/CS_URS_2022_02/998771181" TargetMode="External" /><Relationship Id="rId116" Type="http://schemas.openxmlformats.org/officeDocument/2006/relationships/hyperlink" Target="https://podminky.urs.cz/item/CS_URS_2022_02/HZS1292" TargetMode="External" /><Relationship Id="rId117"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2_02/611131101" TargetMode="External" /><Relationship Id="rId2" Type="http://schemas.openxmlformats.org/officeDocument/2006/relationships/hyperlink" Target="https://podminky.urs.cz/item/CS_URS_2022_02/611142001" TargetMode="External" /><Relationship Id="rId3" Type="http://schemas.openxmlformats.org/officeDocument/2006/relationships/hyperlink" Target="https://podminky.urs.cz/item/CS_URS_2022_02/611321141" TargetMode="External" /><Relationship Id="rId4" Type="http://schemas.openxmlformats.org/officeDocument/2006/relationships/hyperlink" Target="https://podminky.urs.cz/item/CS_URS_2022_02/611321191" TargetMode="External" /><Relationship Id="rId5" Type="http://schemas.openxmlformats.org/officeDocument/2006/relationships/hyperlink" Target="https://podminky.urs.cz/item/CS_URS_2022_02/949101111" TargetMode="External" /><Relationship Id="rId6" Type="http://schemas.openxmlformats.org/officeDocument/2006/relationships/hyperlink" Target="https://podminky.urs.cz/item/CS_URS_2022_02/952901111" TargetMode="External" /><Relationship Id="rId7" Type="http://schemas.openxmlformats.org/officeDocument/2006/relationships/hyperlink" Target="https://podminky.urs.cz/item/CS_URS_2022_02/953943211" TargetMode="External" /><Relationship Id="rId8" Type="http://schemas.openxmlformats.org/officeDocument/2006/relationships/hyperlink" Target="https://podminky.urs.cz/item/CS_URS_2022_02/953943212" TargetMode="External" /><Relationship Id="rId9" Type="http://schemas.openxmlformats.org/officeDocument/2006/relationships/hyperlink" Target="https://podminky.urs.cz/item/CS_URS_2022_02/998018002" TargetMode="External" /><Relationship Id="rId10" Type="http://schemas.openxmlformats.org/officeDocument/2006/relationships/hyperlink" Target="https://podminky.urs.cz/item/CS_URS_2022_02/714121013" TargetMode="External" /><Relationship Id="rId11" Type="http://schemas.openxmlformats.org/officeDocument/2006/relationships/hyperlink" Target="https://podminky.urs.cz/item/CS_URS_2022_02/998714102" TargetMode="External" /><Relationship Id="rId12" Type="http://schemas.openxmlformats.org/officeDocument/2006/relationships/hyperlink" Target="https://podminky.urs.cz/item/CS_URS_2022_02/998714181" TargetMode="External" /><Relationship Id="rId13" Type="http://schemas.openxmlformats.org/officeDocument/2006/relationships/hyperlink" Target="https://podminky.urs.cz/item/CS_URS_2022_02/763121551" TargetMode="External" /><Relationship Id="rId14" Type="http://schemas.openxmlformats.org/officeDocument/2006/relationships/hyperlink" Target="https://podminky.urs.cz/item/CS_URS_2022_02/763121714" TargetMode="External" /><Relationship Id="rId15" Type="http://schemas.openxmlformats.org/officeDocument/2006/relationships/hyperlink" Target="https://podminky.urs.cz/item/CS_URS_2022_02/763131411" TargetMode="External" /><Relationship Id="rId16" Type="http://schemas.openxmlformats.org/officeDocument/2006/relationships/hyperlink" Target="https://podminky.urs.cz/item/CS_URS_2022_02/763131451" TargetMode="External" /><Relationship Id="rId17" Type="http://schemas.openxmlformats.org/officeDocument/2006/relationships/hyperlink" Target="https://podminky.urs.cz/item/CS_URS_2022_02/763131714" TargetMode="External" /><Relationship Id="rId18" Type="http://schemas.openxmlformats.org/officeDocument/2006/relationships/hyperlink" Target="https://podminky.urs.cz/item/CS_URS_2022_02/763131771" TargetMode="External" /><Relationship Id="rId19" Type="http://schemas.openxmlformats.org/officeDocument/2006/relationships/hyperlink" Target="https://podminky.urs.cz/item/CS_URS_2022_02/998763302" TargetMode="External" /><Relationship Id="rId20" Type="http://schemas.openxmlformats.org/officeDocument/2006/relationships/hyperlink" Target="https://podminky.urs.cz/item/CS_URS_2022_02/998763381" TargetMode="External" /><Relationship Id="rId21" Type="http://schemas.openxmlformats.org/officeDocument/2006/relationships/hyperlink" Target="https://podminky.urs.cz/item/CS_URS_2022_02/766660001" TargetMode="External" /><Relationship Id="rId22" Type="http://schemas.openxmlformats.org/officeDocument/2006/relationships/hyperlink" Target="https://podminky.urs.cz/item/CS_URS_2022_02/766660002" TargetMode="External" /><Relationship Id="rId23" Type="http://schemas.openxmlformats.org/officeDocument/2006/relationships/hyperlink" Target="https://podminky.urs.cz/item/CS_URS_2022_02/766660011" TargetMode="External" /><Relationship Id="rId24" Type="http://schemas.openxmlformats.org/officeDocument/2006/relationships/hyperlink" Target="https://podminky.urs.cz/item/CS_URS_2022_02/766660021" TargetMode="External" /><Relationship Id="rId25" Type="http://schemas.openxmlformats.org/officeDocument/2006/relationships/hyperlink" Target="https://podminky.urs.cz/item/CS_URS_2022_02/766660022" TargetMode="External" /><Relationship Id="rId26" Type="http://schemas.openxmlformats.org/officeDocument/2006/relationships/hyperlink" Target="https://podminky.urs.cz/item/CS_URS_2022_02/766660031" TargetMode="External" /><Relationship Id="rId27" Type="http://schemas.openxmlformats.org/officeDocument/2006/relationships/hyperlink" Target="https://podminky.urs.cz/item/CS_URS_2022_02/766660717" TargetMode="External" /><Relationship Id="rId28" Type="http://schemas.openxmlformats.org/officeDocument/2006/relationships/hyperlink" Target="https://podminky.urs.cz/item/CS_URS_2022_02/766660728" TargetMode="External" /><Relationship Id="rId29" Type="http://schemas.openxmlformats.org/officeDocument/2006/relationships/hyperlink" Target="https://podminky.urs.cz/item/CS_URS_2022_02/766660729" TargetMode="External" /><Relationship Id="rId30" Type="http://schemas.openxmlformats.org/officeDocument/2006/relationships/hyperlink" Target="https://podminky.urs.cz/item/CS_URS_2022_02/766694111" TargetMode="External" /><Relationship Id="rId31" Type="http://schemas.openxmlformats.org/officeDocument/2006/relationships/hyperlink" Target="https://podminky.urs.cz/item/CS_URS_2022_02/766694113" TargetMode="External" /><Relationship Id="rId32" Type="http://schemas.openxmlformats.org/officeDocument/2006/relationships/hyperlink" Target="https://podminky.urs.cz/item/CS_URS_2022_02/766694114" TargetMode="External" /><Relationship Id="rId33" Type="http://schemas.openxmlformats.org/officeDocument/2006/relationships/hyperlink" Target="https://podminky.urs.cz/item/CS_URS_2022_02/998766102" TargetMode="External" /><Relationship Id="rId34" Type="http://schemas.openxmlformats.org/officeDocument/2006/relationships/hyperlink" Target="https://podminky.urs.cz/item/CS_URS_2022_02/998766181" TargetMode="External" /><Relationship Id="rId35" Type="http://schemas.openxmlformats.org/officeDocument/2006/relationships/hyperlink" Target="https://podminky.urs.cz/item/CS_URS_2022_02/767220420" TargetMode="External" /><Relationship Id="rId36" Type="http://schemas.openxmlformats.org/officeDocument/2006/relationships/hyperlink" Target="https://podminky.urs.cz/item/CS_URS_2022_02/767646522" TargetMode="External" /><Relationship Id="rId37" Type="http://schemas.openxmlformats.org/officeDocument/2006/relationships/hyperlink" Target="https://podminky.urs.cz/item/CS_URS_2022_02/767649191" TargetMode="External" /><Relationship Id="rId38" Type="http://schemas.openxmlformats.org/officeDocument/2006/relationships/hyperlink" Target="https://podminky.urs.cz/item/CS_URS_2022_02/998767102" TargetMode="External" /><Relationship Id="rId39" Type="http://schemas.openxmlformats.org/officeDocument/2006/relationships/hyperlink" Target="https://podminky.urs.cz/item/CS_URS_2022_02/998767181" TargetMode="External" /><Relationship Id="rId40" Type="http://schemas.openxmlformats.org/officeDocument/2006/relationships/hyperlink" Target="https://podminky.urs.cz/item/CS_URS_2022_02/771111011" TargetMode="External" /><Relationship Id="rId41" Type="http://schemas.openxmlformats.org/officeDocument/2006/relationships/hyperlink" Target="https://podminky.urs.cz/item/CS_URS_2022_02/771121011" TargetMode="External" /><Relationship Id="rId42" Type="http://schemas.openxmlformats.org/officeDocument/2006/relationships/hyperlink" Target="https://podminky.urs.cz/item/CS_URS_2022_02/771151021" TargetMode="External" /><Relationship Id="rId43" Type="http://schemas.openxmlformats.org/officeDocument/2006/relationships/hyperlink" Target="https://podminky.urs.cz/item/CS_URS_2022_02/771274123" TargetMode="External" /><Relationship Id="rId44" Type="http://schemas.openxmlformats.org/officeDocument/2006/relationships/hyperlink" Target="https://podminky.urs.cz/item/CS_URS_2022_02/771274241" TargetMode="External" /><Relationship Id="rId45" Type="http://schemas.openxmlformats.org/officeDocument/2006/relationships/hyperlink" Target="https://podminky.urs.cz/item/CS_URS_2022_02/771474113" TargetMode="External" /><Relationship Id="rId46" Type="http://schemas.openxmlformats.org/officeDocument/2006/relationships/hyperlink" Target="https://podminky.urs.cz/item/CS_URS_2022_02/771574240" TargetMode="External" /><Relationship Id="rId47" Type="http://schemas.openxmlformats.org/officeDocument/2006/relationships/hyperlink" Target="https://podminky.urs.cz/item/CS_URS_2022_02/771591112" TargetMode="External" /><Relationship Id="rId48" Type="http://schemas.openxmlformats.org/officeDocument/2006/relationships/hyperlink" Target="https://podminky.urs.cz/item/CS_URS_2022_02/771591115" TargetMode="External" /><Relationship Id="rId49" Type="http://schemas.openxmlformats.org/officeDocument/2006/relationships/hyperlink" Target="https://podminky.urs.cz/item/CS_URS_2022_02/771592011" TargetMode="External" /><Relationship Id="rId50" Type="http://schemas.openxmlformats.org/officeDocument/2006/relationships/hyperlink" Target="https://podminky.urs.cz/item/CS_URS_2022_02/998771102" TargetMode="External" /><Relationship Id="rId51" Type="http://schemas.openxmlformats.org/officeDocument/2006/relationships/hyperlink" Target="https://podminky.urs.cz/item/CS_URS_2022_02/998771181" TargetMode="External" /><Relationship Id="rId52" Type="http://schemas.openxmlformats.org/officeDocument/2006/relationships/hyperlink" Target="https://podminky.urs.cz/item/CS_URS_2022_02/776111111" TargetMode="External" /><Relationship Id="rId53" Type="http://schemas.openxmlformats.org/officeDocument/2006/relationships/hyperlink" Target="https://podminky.urs.cz/item/CS_URS_2022_02/776111311" TargetMode="External" /><Relationship Id="rId54" Type="http://schemas.openxmlformats.org/officeDocument/2006/relationships/hyperlink" Target="https://podminky.urs.cz/item/CS_URS_2022_02/776121311" TargetMode="External" /><Relationship Id="rId55" Type="http://schemas.openxmlformats.org/officeDocument/2006/relationships/hyperlink" Target="https://podminky.urs.cz/item/CS_URS_2022_02/776141121" TargetMode="External" /><Relationship Id="rId56" Type="http://schemas.openxmlformats.org/officeDocument/2006/relationships/hyperlink" Target="https://podminky.urs.cz/item/CS_URS_2022_02/776251111" TargetMode="External" /><Relationship Id="rId57" Type="http://schemas.openxmlformats.org/officeDocument/2006/relationships/hyperlink" Target="https://podminky.urs.cz/item/CS_URS_2022_02/776251411" TargetMode="External" /><Relationship Id="rId58" Type="http://schemas.openxmlformats.org/officeDocument/2006/relationships/hyperlink" Target="https://podminky.urs.cz/item/CS_URS_2022_02/776411111" TargetMode="External" /><Relationship Id="rId59" Type="http://schemas.openxmlformats.org/officeDocument/2006/relationships/hyperlink" Target="https://podminky.urs.cz/item/CS_URS_2022_02/776991121" TargetMode="External" /><Relationship Id="rId60" Type="http://schemas.openxmlformats.org/officeDocument/2006/relationships/hyperlink" Target="https://podminky.urs.cz/item/CS_URS_2022_02/998776102" TargetMode="External" /><Relationship Id="rId61" Type="http://schemas.openxmlformats.org/officeDocument/2006/relationships/hyperlink" Target="https://podminky.urs.cz/item/CS_URS_2022_02/998776181" TargetMode="External" /><Relationship Id="rId62" Type="http://schemas.openxmlformats.org/officeDocument/2006/relationships/hyperlink" Target="https://podminky.urs.cz/item/CS_URS_2022_02/781111011" TargetMode="External" /><Relationship Id="rId63" Type="http://schemas.openxmlformats.org/officeDocument/2006/relationships/hyperlink" Target="https://podminky.urs.cz/item/CS_URS_2022_02/781121011" TargetMode="External" /><Relationship Id="rId64" Type="http://schemas.openxmlformats.org/officeDocument/2006/relationships/hyperlink" Target="https://podminky.urs.cz/item/CS_URS_2022_02/781474112" TargetMode="External" /><Relationship Id="rId65" Type="http://schemas.openxmlformats.org/officeDocument/2006/relationships/hyperlink" Target="https://podminky.urs.cz/item/CS_URS_2022_02/781477111" TargetMode="External" /><Relationship Id="rId66" Type="http://schemas.openxmlformats.org/officeDocument/2006/relationships/hyperlink" Target="https://podminky.urs.cz/item/CS_URS_2022_02/781477112" TargetMode="External" /><Relationship Id="rId67" Type="http://schemas.openxmlformats.org/officeDocument/2006/relationships/hyperlink" Target="https://podminky.urs.cz/item/CS_URS_2022_02/781477114" TargetMode="External" /><Relationship Id="rId68" Type="http://schemas.openxmlformats.org/officeDocument/2006/relationships/hyperlink" Target="https://podminky.urs.cz/item/CS_URS_2022_02/781494111" TargetMode="External" /><Relationship Id="rId69" Type="http://schemas.openxmlformats.org/officeDocument/2006/relationships/hyperlink" Target="https://podminky.urs.cz/item/CS_URS_2022_02/781494511" TargetMode="External" /><Relationship Id="rId70" Type="http://schemas.openxmlformats.org/officeDocument/2006/relationships/hyperlink" Target="https://podminky.urs.cz/item/CS_URS_2022_02/781495141" TargetMode="External" /><Relationship Id="rId71" Type="http://schemas.openxmlformats.org/officeDocument/2006/relationships/hyperlink" Target="https://podminky.urs.cz/item/CS_URS_2022_02/781495142" TargetMode="External" /><Relationship Id="rId72" Type="http://schemas.openxmlformats.org/officeDocument/2006/relationships/hyperlink" Target="https://podminky.urs.cz/item/CS_URS_2022_02/781495143" TargetMode="External" /><Relationship Id="rId73" Type="http://schemas.openxmlformats.org/officeDocument/2006/relationships/hyperlink" Target="https://podminky.urs.cz/item/CS_URS_2022_02/781495211" TargetMode="External" /><Relationship Id="rId74" Type="http://schemas.openxmlformats.org/officeDocument/2006/relationships/hyperlink" Target="https://podminky.urs.cz/item/CS_URS_2022_02/998781102" TargetMode="External" /><Relationship Id="rId75" Type="http://schemas.openxmlformats.org/officeDocument/2006/relationships/hyperlink" Target="https://podminky.urs.cz/item/CS_URS_2022_02/998781181" TargetMode="External" /><Relationship Id="rId76" Type="http://schemas.openxmlformats.org/officeDocument/2006/relationships/hyperlink" Target="https://podminky.urs.cz/item/CS_URS_2022_02/783301311" TargetMode="External" /><Relationship Id="rId77" Type="http://schemas.openxmlformats.org/officeDocument/2006/relationships/hyperlink" Target="https://podminky.urs.cz/item/CS_URS_2022_02/783301401" TargetMode="External" /><Relationship Id="rId78" Type="http://schemas.openxmlformats.org/officeDocument/2006/relationships/hyperlink" Target="https://podminky.urs.cz/item/CS_URS_2022_02/783314203" TargetMode="External" /><Relationship Id="rId79" Type="http://schemas.openxmlformats.org/officeDocument/2006/relationships/hyperlink" Target="https://podminky.urs.cz/item/CS_URS_2022_02/783315103" TargetMode="External" /><Relationship Id="rId80" Type="http://schemas.openxmlformats.org/officeDocument/2006/relationships/hyperlink" Target="https://podminky.urs.cz/item/CS_URS_2022_02/783347101" TargetMode="External" /><Relationship Id="rId81" Type="http://schemas.openxmlformats.org/officeDocument/2006/relationships/hyperlink" Target="https://podminky.urs.cz/item/CS_URS_2022_02/784111003" TargetMode="External" /><Relationship Id="rId82" Type="http://schemas.openxmlformats.org/officeDocument/2006/relationships/hyperlink" Target="https://podminky.urs.cz/item/CS_URS_2022_02/784181123" TargetMode="External" /><Relationship Id="rId83" Type="http://schemas.openxmlformats.org/officeDocument/2006/relationships/hyperlink" Target="https://podminky.urs.cz/item/CS_URS_2022_02/784191003" TargetMode="External" /><Relationship Id="rId84" Type="http://schemas.openxmlformats.org/officeDocument/2006/relationships/hyperlink" Target="https://podminky.urs.cz/item/CS_URS_2022_02/784191005" TargetMode="External" /><Relationship Id="rId85" Type="http://schemas.openxmlformats.org/officeDocument/2006/relationships/hyperlink" Target="https://podminky.urs.cz/item/CS_URS_2022_02/784191007" TargetMode="External" /><Relationship Id="rId86" Type="http://schemas.openxmlformats.org/officeDocument/2006/relationships/hyperlink" Target="https://podminky.urs.cz/item/CS_URS_2022_02/784211103" TargetMode="External" /><Relationship Id="rId87" Type="http://schemas.openxmlformats.org/officeDocument/2006/relationships/hyperlink" Target="https://podminky.urs.cz/item/CS_URS_2022_02/784211113" TargetMode="External" /><Relationship Id="rId88" Type="http://schemas.openxmlformats.org/officeDocument/2006/relationships/hyperlink" Target="https://podminky.urs.cz/item/CS_URS_2022_02/784211161" TargetMode="External" /><Relationship Id="rId89" Type="http://schemas.openxmlformats.org/officeDocument/2006/relationships/hyperlink" Target="https://podminky.urs.cz/item/CS_URS_2022_02/786624111" TargetMode="External" /><Relationship Id="rId90" Type="http://schemas.openxmlformats.org/officeDocument/2006/relationships/hyperlink" Target="https://podminky.urs.cz/item/CS_URS_2022_02/998786102" TargetMode="External" /><Relationship Id="rId91" Type="http://schemas.openxmlformats.org/officeDocument/2006/relationships/hyperlink" Target="https://podminky.urs.cz/item/CS_URS_2022_02/998786181" TargetMode="External" /><Relationship Id="rId92" Type="http://schemas.openxmlformats.org/officeDocument/2006/relationships/hyperlink" Target="https://podminky.urs.cz/item/CS_URS_2022_02/HZS1292" TargetMode="External" /><Relationship Id="rId93" Type="http://schemas.openxmlformats.org/officeDocument/2006/relationships/hyperlink" Target="https://podminky.urs.cz/item/CS_URS_2022_02/011434000" TargetMode="External" /><Relationship Id="rId94"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2_02/162251122" TargetMode="External" /><Relationship Id="rId2" Type="http://schemas.openxmlformats.org/officeDocument/2006/relationships/hyperlink" Target="https://podminky.urs.cz/item/CS_URS_2022_02/162751117" TargetMode="External" /><Relationship Id="rId3" Type="http://schemas.openxmlformats.org/officeDocument/2006/relationships/hyperlink" Target="https://podminky.urs.cz/item/CS_URS_2022_02/162751119" TargetMode="External" /><Relationship Id="rId4" Type="http://schemas.openxmlformats.org/officeDocument/2006/relationships/hyperlink" Target="https://podminky.urs.cz/item/CS_URS_2022_02/167151111" TargetMode="External" /><Relationship Id="rId5" Type="http://schemas.openxmlformats.org/officeDocument/2006/relationships/hyperlink" Target="https://podminky.urs.cz/item/CS_URS_2022_02/167151112" TargetMode="External" /><Relationship Id="rId6" Type="http://schemas.openxmlformats.org/officeDocument/2006/relationships/hyperlink" Target="https://podminky.urs.cz/item/CS_URS_2022_02/171151112" TargetMode="External" /><Relationship Id="rId7" Type="http://schemas.openxmlformats.org/officeDocument/2006/relationships/hyperlink" Target="https://podminky.urs.cz/item/CS_URS_2022_02/181351103" TargetMode="External" /><Relationship Id="rId8" Type="http://schemas.openxmlformats.org/officeDocument/2006/relationships/hyperlink" Target="https://podminky.urs.cz/item/CS_URS_2022_02/181411131" TargetMode="External" /><Relationship Id="rId9" Type="http://schemas.openxmlformats.org/officeDocument/2006/relationships/hyperlink" Target="https://podminky.urs.cz/item/CS_URS_2022_02/181951112" TargetMode="External" /><Relationship Id="rId10" Type="http://schemas.openxmlformats.org/officeDocument/2006/relationships/hyperlink" Target="https://podminky.urs.cz/item/CS_URS_2022_02/181951114" TargetMode="External" /><Relationship Id="rId11" Type="http://schemas.openxmlformats.org/officeDocument/2006/relationships/hyperlink" Target="https://podminky.urs.cz/item/CS_URS_2022_02/564851111" TargetMode="External" /><Relationship Id="rId12" Type="http://schemas.openxmlformats.org/officeDocument/2006/relationships/hyperlink" Target="https://podminky.urs.cz/item/CS_URS_2022_02/564931212" TargetMode="External" /><Relationship Id="rId13" Type="http://schemas.openxmlformats.org/officeDocument/2006/relationships/hyperlink" Target="https://podminky.urs.cz/item/CS_URS_2022_02/564961215" TargetMode="External" /><Relationship Id="rId14" Type="http://schemas.openxmlformats.org/officeDocument/2006/relationships/hyperlink" Target="https://podminky.urs.cz/item/CS_URS_2022_02/637211311" TargetMode="External" /><Relationship Id="rId15" Type="http://schemas.openxmlformats.org/officeDocument/2006/relationships/hyperlink" Target="https://podminky.urs.cz/item/CS_URS_2022_02/637211911" TargetMode="External" /><Relationship Id="rId16" Type="http://schemas.openxmlformats.org/officeDocument/2006/relationships/hyperlink" Target="https://podminky.urs.cz/item/CS_URS_2022_02/637311131" TargetMode="External" /><Relationship Id="rId17" Type="http://schemas.openxmlformats.org/officeDocument/2006/relationships/hyperlink" Target="https://podminky.urs.cz/item/CS_URS_2022_02/998017001" TargetMode="External" /><Relationship Id="rId18"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2/HZS1292" TargetMode="Externa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2/HZS1292" TargetMode="External" /><Relationship Id="rId2"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997013213" TargetMode="External" /><Relationship Id="rId2" Type="http://schemas.openxmlformats.org/officeDocument/2006/relationships/hyperlink" Target="https://podminky.urs.cz/item/CS_URS_2022_02/997013219"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997013871" TargetMode="External" /><Relationship Id="rId6" Type="http://schemas.openxmlformats.org/officeDocument/2006/relationships/hyperlink" Target="https://podminky.urs.cz/item/CS_URS_2022_02/721210813" TargetMode="External" /><Relationship Id="rId7" Type="http://schemas.openxmlformats.org/officeDocument/2006/relationships/hyperlink" Target="https://podminky.urs.cz/item/CS_URS_2022_02/725110814" TargetMode="External" /><Relationship Id="rId8" Type="http://schemas.openxmlformats.org/officeDocument/2006/relationships/hyperlink" Target="https://podminky.urs.cz/item/CS_URS_2022_02/725210821" TargetMode="External" /><Relationship Id="rId9" Type="http://schemas.openxmlformats.org/officeDocument/2006/relationships/hyperlink" Target="https://podminky.urs.cz/item/CS_URS_2022_02/725210826" TargetMode="External" /><Relationship Id="rId10" Type="http://schemas.openxmlformats.org/officeDocument/2006/relationships/hyperlink" Target="https://podminky.urs.cz/item/CS_URS_2022_02/725820801" TargetMode="External" /><Relationship Id="rId11" Type="http://schemas.openxmlformats.org/officeDocument/2006/relationships/hyperlink" Target="https://podminky.urs.cz/item/CS_URS_2022_02/725840850" TargetMode="External" /><Relationship Id="rId12" Type="http://schemas.openxmlformats.org/officeDocument/2006/relationships/hyperlink" Target="https://podminky.urs.cz/item/CS_URS_2022_02/725860811" TargetMode="External" /><Relationship Id="rId13" Type="http://schemas.openxmlformats.org/officeDocument/2006/relationships/hyperlink" Target="https://podminky.urs.cz/item/CS_URS_2022_02/HZS3211" TargetMode="External" /><Relationship Id="rId14" Type="http://schemas.openxmlformats.org/officeDocument/2006/relationships/hyperlink" Target="https://podminky.urs.cz/item/CS_URS_2022_02/HZS1291" TargetMode="External" /><Relationship Id="rId15"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2/132251101" TargetMode="External" /><Relationship Id="rId2" Type="http://schemas.openxmlformats.org/officeDocument/2006/relationships/hyperlink" Target="https://podminky.urs.cz/item/CS_URS_2022_02/162751117" TargetMode="External" /><Relationship Id="rId3" Type="http://schemas.openxmlformats.org/officeDocument/2006/relationships/hyperlink" Target="https://podminky.urs.cz/item/CS_URS_2022_02/162751119" TargetMode="External" /><Relationship Id="rId4" Type="http://schemas.openxmlformats.org/officeDocument/2006/relationships/hyperlink" Target="https://podminky.urs.cz/item/CS_URS_2022_02/171201231" TargetMode="External" /><Relationship Id="rId5" Type="http://schemas.openxmlformats.org/officeDocument/2006/relationships/hyperlink" Target="https://podminky.urs.cz/item/CS_URS_2022_02/171251201" TargetMode="External" /><Relationship Id="rId6" Type="http://schemas.openxmlformats.org/officeDocument/2006/relationships/hyperlink" Target="https://podminky.urs.cz/item/CS_URS_2022_02/174151101" TargetMode="External" /><Relationship Id="rId7" Type="http://schemas.openxmlformats.org/officeDocument/2006/relationships/hyperlink" Target="https://podminky.urs.cz/item/CS_URS_2022_02/175111101" TargetMode="External" /><Relationship Id="rId8" Type="http://schemas.openxmlformats.org/officeDocument/2006/relationships/hyperlink" Target="https://podminky.urs.cz/item/CS_URS_2022_02/451573111" TargetMode="External" /><Relationship Id="rId9" Type="http://schemas.openxmlformats.org/officeDocument/2006/relationships/hyperlink" Target="https://podminky.urs.cz/item/CS_URS_2022_02/899721111" TargetMode="External" /><Relationship Id="rId10" Type="http://schemas.openxmlformats.org/officeDocument/2006/relationships/hyperlink" Target="https://podminky.urs.cz/item/CS_URS_2022_02/899722113" TargetMode="External" /><Relationship Id="rId11" Type="http://schemas.openxmlformats.org/officeDocument/2006/relationships/hyperlink" Target="https://podminky.urs.cz/item/CS_URS_2022_02/953942426" TargetMode="External" /><Relationship Id="rId12" Type="http://schemas.openxmlformats.org/officeDocument/2006/relationships/hyperlink" Target="https://podminky.urs.cz/item/CS_URS_2022_02/998018002" TargetMode="External" /><Relationship Id="rId13" Type="http://schemas.openxmlformats.org/officeDocument/2006/relationships/hyperlink" Target="https://podminky.urs.cz/item/CS_URS_2022_02/721173403" TargetMode="External" /><Relationship Id="rId14" Type="http://schemas.openxmlformats.org/officeDocument/2006/relationships/hyperlink" Target="https://podminky.urs.cz/item/CS_URS_2022_02/721174004" TargetMode="External" /><Relationship Id="rId15" Type="http://schemas.openxmlformats.org/officeDocument/2006/relationships/hyperlink" Target="https://podminky.urs.cz/item/CS_URS_2022_02/721174006" TargetMode="External" /><Relationship Id="rId16" Type="http://schemas.openxmlformats.org/officeDocument/2006/relationships/hyperlink" Target="https://podminky.urs.cz/item/CS_URS_2022_02/721174007" TargetMode="External" /><Relationship Id="rId17" Type="http://schemas.openxmlformats.org/officeDocument/2006/relationships/hyperlink" Target="https://podminky.urs.cz/item/CS_URS_2022_02/721174024" TargetMode="External" /><Relationship Id="rId18" Type="http://schemas.openxmlformats.org/officeDocument/2006/relationships/hyperlink" Target="https://podminky.urs.cz/item/CS_URS_2022_02/721174025" TargetMode="External" /><Relationship Id="rId19" Type="http://schemas.openxmlformats.org/officeDocument/2006/relationships/hyperlink" Target="https://podminky.urs.cz/item/CS_URS_2022_02/721174026" TargetMode="External" /><Relationship Id="rId20" Type="http://schemas.openxmlformats.org/officeDocument/2006/relationships/hyperlink" Target="https://podminky.urs.cz/item/CS_URS_2022_02/721174042" TargetMode="External" /><Relationship Id="rId21" Type="http://schemas.openxmlformats.org/officeDocument/2006/relationships/hyperlink" Target="https://podminky.urs.cz/item/CS_URS_2022_02/721174043" TargetMode="External" /><Relationship Id="rId22" Type="http://schemas.openxmlformats.org/officeDocument/2006/relationships/hyperlink" Target="https://podminky.urs.cz/item/CS_URS_2022_02/721174045" TargetMode="External" /><Relationship Id="rId23" Type="http://schemas.openxmlformats.org/officeDocument/2006/relationships/hyperlink" Target="https://podminky.urs.cz/item/CS_URS_2022_02/721174055" TargetMode="External" /><Relationship Id="rId24" Type="http://schemas.openxmlformats.org/officeDocument/2006/relationships/hyperlink" Target="https://podminky.urs.cz/item/CS_URS_2022_02/721174057" TargetMode="External" /><Relationship Id="rId25" Type="http://schemas.openxmlformats.org/officeDocument/2006/relationships/hyperlink" Target="https://podminky.urs.cz/item/CS_URS_2022_02/721174062" TargetMode="External" /><Relationship Id="rId26" Type="http://schemas.openxmlformats.org/officeDocument/2006/relationships/hyperlink" Target="https://podminky.urs.cz/item/CS_URS_2022_02/721174064" TargetMode="External" /><Relationship Id="rId27" Type="http://schemas.openxmlformats.org/officeDocument/2006/relationships/hyperlink" Target="https://podminky.urs.cz/item/CS_URS_2022_02/721273152" TargetMode="External" /><Relationship Id="rId28" Type="http://schemas.openxmlformats.org/officeDocument/2006/relationships/hyperlink" Target="https://podminky.urs.cz/item/CS_URS_2022_02/721273153" TargetMode="External" /><Relationship Id="rId29" Type="http://schemas.openxmlformats.org/officeDocument/2006/relationships/hyperlink" Target="https://podminky.urs.cz/item/CS_URS_2022_02/721290111" TargetMode="External" /><Relationship Id="rId30" Type="http://schemas.openxmlformats.org/officeDocument/2006/relationships/hyperlink" Target="https://podminky.urs.cz/item/CS_URS_2022_02/721290112" TargetMode="External" /><Relationship Id="rId31" Type="http://schemas.openxmlformats.org/officeDocument/2006/relationships/hyperlink" Target="https://podminky.urs.cz/item/CS_URS_2022_02/998721102" TargetMode="External" /><Relationship Id="rId32" Type="http://schemas.openxmlformats.org/officeDocument/2006/relationships/hyperlink" Target="https://podminky.urs.cz/item/CS_URS_2022_02/998721181" TargetMode="External" /><Relationship Id="rId33" Type="http://schemas.openxmlformats.org/officeDocument/2006/relationships/hyperlink" Target="https://podminky.urs.cz/item/CS_URS_2022_02/722174002" TargetMode="External" /><Relationship Id="rId34" Type="http://schemas.openxmlformats.org/officeDocument/2006/relationships/hyperlink" Target="https://podminky.urs.cz/item/CS_URS_2022_02/722174003" TargetMode="External" /><Relationship Id="rId35" Type="http://schemas.openxmlformats.org/officeDocument/2006/relationships/hyperlink" Target="https://podminky.urs.cz/item/CS_URS_2022_02/722174004" TargetMode="External" /><Relationship Id="rId36" Type="http://schemas.openxmlformats.org/officeDocument/2006/relationships/hyperlink" Target="https://podminky.urs.cz/item/CS_URS_2022_02/722174005" TargetMode="External" /><Relationship Id="rId37" Type="http://schemas.openxmlformats.org/officeDocument/2006/relationships/hyperlink" Target="https://podminky.urs.cz/item/CS_URS_2022_02/722174022" TargetMode="External" /><Relationship Id="rId38" Type="http://schemas.openxmlformats.org/officeDocument/2006/relationships/hyperlink" Target="https://podminky.urs.cz/item/CS_URS_2022_02/722174023" TargetMode="External" /><Relationship Id="rId39" Type="http://schemas.openxmlformats.org/officeDocument/2006/relationships/hyperlink" Target="https://podminky.urs.cz/item/CS_URS_2022_02/722174024" TargetMode="External" /><Relationship Id="rId40" Type="http://schemas.openxmlformats.org/officeDocument/2006/relationships/hyperlink" Target="https://podminky.urs.cz/item/CS_URS_2022_02/722174072" TargetMode="External" /><Relationship Id="rId41" Type="http://schemas.openxmlformats.org/officeDocument/2006/relationships/hyperlink" Target="https://podminky.urs.cz/item/CS_URS_2022_02/722174073" TargetMode="External" /><Relationship Id="rId42" Type="http://schemas.openxmlformats.org/officeDocument/2006/relationships/hyperlink" Target="https://podminky.urs.cz/item/CS_URS_2022_02/722181211" TargetMode="External" /><Relationship Id="rId43" Type="http://schemas.openxmlformats.org/officeDocument/2006/relationships/hyperlink" Target="https://podminky.urs.cz/item/CS_URS_2022_02/722181212" TargetMode="External" /><Relationship Id="rId44" Type="http://schemas.openxmlformats.org/officeDocument/2006/relationships/hyperlink" Target="https://podminky.urs.cz/item/CS_URS_2022_02/722181213" TargetMode="External" /><Relationship Id="rId45" Type="http://schemas.openxmlformats.org/officeDocument/2006/relationships/hyperlink" Target="https://podminky.urs.cz/item/CS_URS_2022_02/722181241" TargetMode="External" /><Relationship Id="rId46" Type="http://schemas.openxmlformats.org/officeDocument/2006/relationships/hyperlink" Target="https://podminky.urs.cz/item/CS_URS_2022_02/722181252" TargetMode="External" /><Relationship Id="rId47" Type="http://schemas.openxmlformats.org/officeDocument/2006/relationships/hyperlink" Target="https://podminky.urs.cz/item/CS_URS_2022_02/722220231" TargetMode="External" /><Relationship Id="rId48" Type="http://schemas.openxmlformats.org/officeDocument/2006/relationships/hyperlink" Target="https://podminky.urs.cz/item/CS_URS_2022_02/722220234" TargetMode="External" /><Relationship Id="rId49" Type="http://schemas.openxmlformats.org/officeDocument/2006/relationships/hyperlink" Target="https://podminky.urs.cz/item/CS_URS_2022_02/722232043" TargetMode="External" /><Relationship Id="rId50" Type="http://schemas.openxmlformats.org/officeDocument/2006/relationships/hyperlink" Target="https://podminky.urs.cz/item/CS_URS_2022_02/722232046" TargetMode="External" /><Relationship Id="rId51" Type="http://schemas.openxmlformats.org/officeDocument/2006/relationships/hyperlink" Target="https://podminky.urs.cz/item/CS_URS_2022_02/722290226" TargetMode="External" /><Relationship Id="rId52" Type="http://schemas.openxmlformats.org/officeDocument/2006/relationships/hyperlink" Target="https://podminky.urs.cz/item/CS_URS_2022_02/722290234" TargetMode="External" /><Relationship Id="rId53" Type="http://schemas.openxmlformats.org/officeDocument/2006/relationships/hyperlink" Target="https://podminky.urs.cz/item/CS_URS_2022_02/998722102" TargetMode="External" /><Relationship Id="rId54" Type="http://schemas.openxmlformats.org/officeDocument/2006/relationships/hyperlink" Target="https://podminky.urs.cz/item/CS_URS_2022_02/998722181" TargetMode="External" /><Relationship Id="rId55" Type="http://schemas.openxmlformats.org/officeDocument/2006/relationships/hyperlink" Target="https://podminky.urs.cz/item/CS_URS_2022_02/725112022" TargetMode="External" /><Relationship Id="rId56" Type="http://schemas.openxmlformats.org/officeDocument/2006/relationships/hyperlink" Target="https://podminky.urs.cz/item/CS_URS_2022_02/725112022" TargetMode="External" /><Relationship Id="rId57" Type="http://schemas.openxmlformats.org/officeDocument/2006/relationships/hyperlink" Target="https://podminky.urs.cz/item/CS_URS_2022_02/725113913" TargetMode="External" /><Relationship Id="rId58" Type="http://schemas.openxmlformats.org/officeDocument/2006/relationships/hyperlink" Target="https://podminky.urs.cz/item/CS_URS_2022_02/725113914" TargetMode="External" /><Relationship Id="rId59" Type="http://schemas.openxmlformats.org/officeDocument/2006/relationships/hyperlink" Target="https://podminky.urs.cz/item/CS_URS_2022_02/725121527" TargetMode="External" /><Relationship Id="rId60" Type="http://schemas.openxmlformats.org/officeDocument/2006/relationships/hyperlink" Target="https://podminky.urs.cz/item/CS_URS_2022_02/725211616" TargetMode="External" /><Relationship Id="rId61" Type="http://schemas.openxmlformats.org/officeDocument/2006/relationships/hyperlink" Target="https://podminky.urs.cz/item/CS_URS_2022_02/725211681" TargetMode="External" /><Relationship Id="rId62" Type="http://schemas.openxmlformats.org/officeDocument/2006/relationships/hyperlink" Target="https://podminky.urs.cz/item/CS_URS_2022_02/725231203" TargetMode="External" /><Relationship Id="rId63" Type="http://schemas.openxmlformats.org/officeDocument/2006/relationships/hyperlink" Target="https://podminky.urs.cz/item/CS_URS_2022_02/725291703" TargetMode="External" /><Relationship Id="rId64" Type="http://schemas.openxmlformats.org/officeDocument/2006/relationships/hyperlink" Target="https://podminky.urs.cz/item/CS_URS_2022_02/725291712" TargetMode="External" /><Relationship Id="rId65" Type="http://schemas.openxmlformats.org/officeDocument/2006/relationships/hyperlink" Target="https://podminky.urs.cz/item/CS_URS_2022_02/725291722" TargetMode="External" /><Relationship Id="rId66" Type="http://schemas.openxmlformats.org/officeDocument/2006/relationships/hyperlink" Target="https://podminky.urs.cz/item/CS_URS_2022_02/725331111" TargetMode="External" /><Relationship Id="rId67" Type="http://schemas.openxmlformats.org/officeDocument/2006/relationships/hyperlink" Target="https://podminky.urs.cz/item/CS_URS_2022_02/725811301" TargetMode="External" /><Relationship Id="rId68" Type="http://schemas.openxmlformats.org/officeDocument/2006/relationships/hyperlink" Target="https://podminky.urs.cz/item/CS_URS_2022_02/725813111" TargetMode="External" /><Relationship Id="rId69" Type="http://schemas.openxmlformats.org/officeDocument/2006/relationships/hyperlink" Target="https://podminky.urs.cz/item/CS_URS_2022_02/725822611" TargetMode="External" /><Relationship Id="rId70" Type="http://schemas.openxmlformats.org/officeDocument/2006/relationships/hyperlink" Target="https://podminky.urs.cz/item/CS_URS_2022_02/725829121" TargetMode="External" /><Relationship Id="rId71" Type="http://schemas.openxmlformats.org/officeDocument/2006/relationships/hyperlink" Target="https://podminky.urs.cz/item/CS_URS_2022_02/725861102" TargetMode="External" /><Relationship Id="rId72" Type="http://schemas.openxmlformats.org/officeDocument/2006/relationships/hyperlink" Target="https://podminky.urs.cz/item/CS_URS_2022_02/725865411" TargetMode="External" /><Relationship Id="rId73" Type="http://schemas.openxmlformats.org/officeDocument/2006/relationships/hyperlink" Target="https://podminky.urs.cz/item/CS_URS_2022_02/998725102" TargetMode="External" /><Relationship Id="rId74" Type="http://schemas.openxmlformats.org/officeDocument/2006/relationships/hyperlink" Target="https://podminky.urs.cz/item/CS_URS_2022_02/998725181" TargetMode="External" /><Relationship Id="rId75" Type="http://schemas.openxmlformats.org/officeDocument/2006/relationships/hyperlink" Target="https://podminky.urs.cz/item/CS_URS_2022_02/726131011" TargetMode="External" /><Relationship Id="rId76" Type="http://schemas.openxmlformats.org/officeDocument/2006/relationships/hyperlink" Target="https://podminky.urs.cz/item/CS_URS_2022_02/726131041" TargetMode="External" /><Relationship Id="rId77" Type="http://schemas.openxmlformats.org/officeDocument/2006/relationships/hyperlink" Target="https://podminky.urs.cz/item/CS_URS_2022_02/726131043" TargetMode="External" /><Relationship Id="rId78" Type="http://schemas.openxmlformats.org/officeDocument/2006/relationships/hyperlink" Target="https://podminky.urs.cz/item/CS_URS_2022_02/998726112" TargetMode="External" /><Relationship Id="rId79" Type="http://schemas.openxmlformats.org/officeDocument/2006/relationships/hyperlink" Target="https://podminky.urs.cz/item/CS_URS_2022_02/998726181" TargetMode="External" /><Relationship Id="rId80" Type="http://schemas.openxmlformats.org/officeDocument/2006/relationships/hyperlink" Target="https://podminky.urs.cz/item/CS_URS_2022_02/732421406" TargetMode="External" /><Relationship Id="rId81" Type="http://schemas.openxmlformats.org/officeDocument/2006/relationships/hyperlink" Target="https://podminky.urs.cz/item/CS_URS_2022_02/998732101" TargetMode="External" /><Relationship Id="rId82" Type="http://schemas.openxmlformats.org/officeDocument/2006/relationships/hyperlink" Target="https://podminky.urs.cz/item/CS_URS_2022_02/998732181" TargetMode="External" /><Relationship Id="rId83" Type="http://schemas.openxmlformats.org/officeDocument/2006/relationships/hyperlink" Target="https://podminky.urs.cz/item/CS_URS_2022_02/HZS1292" TargetMode="External" /><Relationship Id="rId84"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hyperlink" Target="https://podminky.urs.cz/item/CS_URS_2022_02/HZS1292" TargetMode="External" /><Relationship Id="rId2"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bin" /></Relationships>
</file>

<file path=xl/worksheets/_rels/sheet24.xml.rels><?xml version="1.0" encoding="utf-8" standalone="yes"?><Relationships xmlns="http://schemas.openxmlformats.org/package/2006/relationships"><Relationship Id="rId1" Type="http://schemas.openxmlformats.org/officeDocument/2006/relationships/hyperlink" Target="https://podminky.urs.cz/item/CS_URS_2022_02/012303000" TargetMode="External" /><Relationship Id="rId2" Type="http://schemas.openxmlformats.org/officeDocument/2006/relationships/hyperlink" Target="https://podminky.urs.cz/item/CS_URS_2022_02/013254000" TargetMode="External" /><Relationship Id="rId3" Type="http://schemas.openxmlformats.org/officeDocument/2006/relationships/hyperlink" Target="https://podminky.urs.cz/item/CS_URS_2022_02/030001000" TargetMode="External" /><Relationship Id="rId4" Type="http://schemas.openxmlformats.org/officeDocument/2006/relationships/hyperlink" Target="https://podminky.urs.cz/item/CS_URS_2022_02/033002000" TargetMode="External" /><Relationship Id="rId5" Type="http://schemas.openxmlformats.org/officeDocument/2006/relationships/hyperlink" Target="https://podminky.urs.cz/item/CS_URS_2022_02/033203000" TargetMode="External" /><Relationship Id="rId6" Type="http://schemas.openxmlformats.org/officeDocument/2006/relationships/hyperlink" Target="https://podminky.urs.cz/item/CS_URS_2022_02/034503000" TargetMode="External" /><Relationship Id="rId7"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949101112" TargetMode="External" /><Relationship Id="rId2" Type="http://schemas.openxmlformats.org/officeDocument/2006/relationships/hyperlink" Target="https://podminky.urs.cz/item/CS_URS_2022_02/952901111" TargetMode="External" /><Relationship Id="rId3" Type="http://schemas.openxmlformats.org/officeDocument/2006/relationships/hyperlink" Target="https://podminky.urs.cz/item/CS_URS_2022_02/985112112" TargetMode="External" /><Relationship Id="rId4" Type="http://schemas.openxmlformats.org/officeDocument/2006/relationships/hyperlink" Target="https://podminky.urs.cz/item/CS_URS_2022_02/985112113" TargetMode="External" /><Relationship Id="rId5" Type="http://schemas.openxmlformats.org/officeDocument/2006/relationships/hyperlink" Target="https://podminky.urs.cz/item/CS_URS_2022_02/985112122" TargetMode="External" /><Relationship Id="rId6" Type="http://schemas.openxmlformats.org/officeDocument/2006/relationships/hyperlink" Target="https://podminky.urs.cz/item/CS_URS_2022_02/985112123" TargetMode="External" /><Relationship Id="rId7" Type="http://schemas.openxmlformats.org/officeDocument/2006/relationships/hyperlink" Target="https://podminky.urs.cz/item/CS_URS_2022_02/985121122" TargetMode="External" /><Relationship Id="rId8" Type="http://schemas.openxmlformats.org/officeDocument/2006/relationships/hyperlink" Target="https://podminky.urs.cz/item/CS_URS_2022_02/985121222" TargetMode="External" /><Relationship Id="rId9" Type="http://schemas.openxmlformats.org/officeDocument/2006/relationships/hyperlink" Target="https://podminky.urs.cz/item/CS_URS_2022_02/985131311" TargetMode="External" /><Relationship Id="rId10" Type="http://schemas.openxmlformats.org/officeDocument/2006/relationships/hyperlink" Target="https://podminky.urs.cz/item/CS_URS_2022_02/985132311" TargetMode="External" /><Relationship Id="rId11" Type="http://schemas.openxmlformats.org/officeDocument/2006/relationships/hyperlink" Target="https://podminky.urs.cz/item/CS_URS_2022_02/985311112" TargetMode="External" /><Relationship Id="rId12" Type="http://schemas.openxmlformats.org/officeDocument/2006/relationships/hyperlink" Target="https://podminky.urs.cz/item/CS_URS_2022_02/985311114" TargetMode="External" /><Relationship Id="rId13" Type="http://schemas.openxmlformats.org/officeDocument/2006/relationships/hyperlink" Target="https://podminky.urs.cz/item/CS_URS_2022_02/985311212" TargetMode="External" /><Relationship Id="rId14" Type="http://schemas.openxmlformats.org/officeDocument/2006/relationships/hyperlink" Target="https://podminky.urs.cz/item/CS_URS_2022_02/985311214" TargetMode="External" /><Relationship Id="rId15" Type="http://schemas.openxmlformats.org/officeDocument/2006/relationships/hyperlink" Target="https://podminky.urs.cz/item/CS_URS_2022_02/985311913" TargetMode="External" /><Relationship Id="rId16" Type="http://schemas.openxmlformats.org/officeDocument/2006/relationships/hyperlink" Target="https://podminky.urs.cz/item/CS_URS_2022_02/985312111" TargetMode="External" /><Relationship Id="rId17" Type="http://schemas.openxmlformats.org/officeDocument/2006/relationships/hyperlink" Target="https://podminky.urs.cz/item/CS_URS_2022_02/985312121" TargetMode="External" /><Relationship Id="rId18" Type="http://schemas.openxmlformats.org/officeDocument/2006/relationships/hyperlink" Target="https://podminky.urs.cz/item/CS_URS_2022_02/985321111" TargetMode="External" /><Relationship Id="rId19" Type="http://schemas.openxmlformats.org/officeDocument/2006/relationships/hyperlink" Target="https://podminky.urs.cz/item/CS_URS_2022_02/985323111" TargetMode="External" /><Relationship Id="rId20" Type="http://schemas.openxmlformats.org/officeDocument/2006/relationships/hyperlink" Target="https://podminky.urs.cz/item/CS_URS_2022_02/985324211" TargetMode="External" /><Relationship Id="rId21" Type="http://schemas.openxmlformats.org/officeDocument/2006/relationships/hyperlink" Target="https://podminky.urs.cz/item/CS_URS_2022_02/985331213" TargetMode="External" /><Relationship Id="rId22" Type="http://schemas.openxmlformats.org/officeDocument/2006/relationships/hyperlink" Target="https://podminky.urs.cz/item/CS_URS_2022_02/985331217" TargetMode="External" /><Relationship Id="rId23" Type="http://schemas.openxmlformats.org/officeDocument/2006/relationships/hyperlink" Target="https://podminky.urs.cz/item/CS_URS_2022_02/997013213" TargetMode="External" /><Relationship Id="rId24" Type="http://schemas.openxmlformats.org/officeDocument/2006/relationships/hyperlink" Target="https://podminky.urs.cz/item/CS_URS_2022_02/997013219" TargetMode="External" /><Relationship Id="rId25" Type="http://schemas.openxmlformats.org/officeDocument/2006/relationships/hyperlink" Target="https://podminky.urs.cz/item/CS_URS_2022_02/997013501" TargetMode="External" /><Relationship Id="rId26" Type="http://schemas.openxmlformats.org/officeDocument/2006/relationships/hyperlink" Target="https://podminky.urs.cz/item/CS_URS_2022_02/997013509" TargetMode="External" /><Relationship Id="rId27" Type="http://schemas.openxmlformats.org/officeDocument/2006/relationships/hyperlink" Target="https://podminky.urs.cz/item/CS_URS_2022_02/997013861" TargetMode="External" /><Relationship Id="rId28" Type="http://schemas.openxmlformats.org/officeDocument/2006/relationships/hyperlink" Target="https://podminky.urs.cz/item/CS_URS_2022_02/998018002" TargetMode="External" /><Relationship Id="rId29" Type="http://schemas.openxmlformats.org/officeDocument/2006/relationships/hyperlink" Target="https://podminky.urs.cz/item/CS_URS_2022_02/HZS1292" TargetMode="External" /><Relationship Id="rId30" Type="http://schemas.openxmlformats.org/officeDocument/2006/relationships/hyperlink" Target="https://podminky.urs.cz/item/CS_URS_2022_02/011514000" TargetMode="External" /><Relationship Id="rId3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279113135" TargetMode="External" /><Relationship Id="rId2" Type="http://schemas.openxmlformats.org/officeDocument/2006/relationships/hyperlink" Target="https://podminky.urs.cz/item/CS_URS_2022_02/311270521" TargetMode="External" /><Relationship Id="rId3" Type="http://schemas.openxmlformats.org/officeDocument/2006/relationships/hyperlink" Target="https://podminky.urs.cz/item/CS_URS_2022_02/311272031" TargetMode="External" /><Relationship Id="rId4" Type="http://schemas.openxmlformats.org/officeDocument/2006/relationships/hyperlink" Target="https://podminky.urs.cz/item/CS_URS_2022_02/311272111" TargetMode="External" /><Relationship Id="rId5" Type="http://schemas.openxmlformats.org/officeDocument/2006/relationships/hyperlink" Target="https://podminky.urs.cz/item/CS_URS_2022_02/317941121" TargetMode="External" /><Relationship Id="rId6" Type="http://schemas.openxmlformats.org/officeDocument/2006/relationships/hyperlink" Target="https://podminky.urs.cz/item/CS_URS_2022_02/342291112" TargetMode="External" /><Relationship Id="rId7" Type="http://schemas.openxmlformats.org/officeDocument/2006/relationships/hyperlink" Target="https://podminky.urs.cz/item/CS_URS_2022_02/342291143" TargetMode="External" /><Relationship Id="rId8" Type="http://schemas.openxmlformats.org/officeDocument/2006/relationships/hyperlink" Target="https://podminky.urs.cz/item/CS_URS_2022_02/612335302" TargetMode="External" /><Relationship Id="rId9" Type="http://schemas.openxmlformats.org/officeDocument/2006/relationships/hyperlink" Target="https://podminky.urs.cz/item/CS_URS_2022_02/615142012" TargetMode="External" /><Relationship Id="rId10" Type="http://schemas.openxmlformats.org/officeDocument/2006/relationships/hyperlink" Target="https://podminky.urs.cz/item/CS_URS_2022_02/632450124" TargetMode="External" /><Relationship Id="rId11" Type="http://schemas.openxmlformats.org/officeDocument/2006/relationships/hyperlink" Target="https://podminky.urs.cz/item/CS_URS_2022_02/941221111" TargetMode="External" /><Relationship Id="rId12" Type="http://schemas.openxmlformats.org/officeDocument/2006/relationships/hyperlink" Target="https://podminky.urs.cz/item/CS_URS_2022_02/941221211" TargetMode="External" /><Relationship Id="rId13" Type="http://schemas.openxmlformats.org/officeDocument/2006/relationships/hyperlink" Target="https://podminky.urs.cz/item/CS_URS_2022_02/941221811" TargetMode="External" /><Relationship Id="rId14" Type="http://schemas.openxmlformats.org/officeDocument/2006/relationships/hyperlink" Target="https://podminky.urs.cz/item/CS_URS_2022_02/944511111" TargetMode="External" /><Relationship Id="rId15" Type="http://schemas.openxmlformats.org/officeDocument/2006/relationships/hyperlink" Target="https://podminky.urs.cz/item/CS_URS_2022_02/944511211" TargetMode="External" /><Relationship Id="rId16" Type="http://schemas.openxmlformats.org/officeDocument/2006/relationships/hyperlink" Target="https://podminky.urs.cz/item/CS_URS_2022_02/944511811" TargetMode="External" /><Relationship Id="rId17" Type="http://schemas.openxmlformats.org/officeDocument/2006/relationships/hyperlink" Target="https://podminky.urs.cz/item/CS_URS_2022_02/949101111" TargetMode="External" /><Relationship Id="rId18" Type="http://schemas.openxmlformats.org/officeDocument/2006/relationships/hyperlink" Target="https://podminky.urs.cz/item/CS_URS_2022_02/952901111" TargetMode="External" /><Relationship Id="rId19" Type="http://schemas.openxmlformats.org/officeDocument/2006/relationships/hyperlink" Target="https://podminky.urs.cz/item/CS_URS_2022_02/952902121" TargetMode="External" /><Relationship Id="rId20" Type="http://schemas.openxmlformats.org/officeDocument/2006/relationships/hyperlink" Target="https://podminky.urs.cz/item/CS_URS_2022_02/952902131" TargetMode="External" /><Relationship Id="rId21" Type="http://schemas.openxmlformats.org/officeDocument/2006/relationships/hyperlink" Target="https://podminky.urs.cz/item/CS_URS_2022_02/975053141" TargetMode="External" /><Relationship Id="rId22" Type="http://schemas.openxmlformats.org/officeDocument/2006/relationships/hyperlink" Target="https://podminky.urs.cz/item/CS_URS_2022_02/975058141" TargetMode="External" /><Relationship Id="rId23" Type="http://schemas.openxmlformats.org/officeDocument/2006/relationships/hyperlink" Target="https://podminky.urs.cz/item/CS_URS_2022_02/998018002" TargetMode="External" /><Relationship Id="rId24" Type="http://schemas.openxmlformats.org/officeDocument/2006/relationships/hyperlink" Target="https://podminky.urs.cz/item/CS_URS_2022_02/711111002" TargetMode="External" /><Relationship Id="rId25" Type="http://schemas.openxmlformats.org/officeDocument/2006/relationships/hyperlink" Target="https://podminky.urs.cz/item/CS_URS_2022_02/711112002" TargetMode="External" /><Relationship Id="rId26" Type="http://schemas.openxmlformats.org/officeDocument/2006/relationships/hyperlink" Target="https://podminky.urs.cz/item/CS_URS_2022_02/711141559" TargetMode="External" /><Relationship Id="rId27" Type="http://schemas.openxmlformats.org/officeDocument/2006/relationships/hyperlink" Target="https://podminky.urs.cz/item/CS_URS_2022_02/711142559" TargetMode="External" /><Relationship Id="rId28" Type="http://schemas.openxmlformats.org/officeDocument/2006/relationships/hyperlink" Target="https://podminky.urs.cz/item/CS_URS_2022_02/998711102" TargetMode="External" /><Relationship Id="rId29" Type="http://schemas.openxmlformats.org/officeDocument/2006/relationships/hyperlink" Target="https://podminky.urs.cz/item/CS_URS_2022_02/998711181" TargetMode="External" /><Relationship Id="rId30" Type="http://schemas.openxmlformats.org/officeDocument/2006/relationships/hyperlink" Target="https://podminky.urs.cz/item/CS_URS_2022_02/713131141" TargetMode="External" /><Relationship Id="rId31" Type="http://schemas.openxmlformats.org/officeDocument/2006/relationships/hyperlink" Target="https://podminky.urs.cz/item/CS_URS_2022_02/998713102" TargetMode="External" /><Relationship Id="rId32" Type="http://schemas.openxmlformats.org/officeDocument/2006/relationships/hyperlink" Target="https://podminky.urs.cz/item/CS_URS_2022_02/998713181" TargetMode="External" /><Relationship Id="rId33" Type="http://schemas.openxmlformats.org/officeDocument/2006/relationships/hyperlink" Target="https://podminky.urs.cz/item/CS_URS_2022_02/HZS1292" TargetMode="External" /><Relationship Id="rId3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964053111" TargetMode="External" /><Relationship Id="rId2" Type="http://schemas.openxmlformats.org/officeDocument/2006/relationships/hyperlink" Target="https://podminky.urs.cz/item/CS_URS_2022_02/975053141" TargetMode="External" /><Relationship Id="rId3" Type="http://schemas.openxmlformats.org/officeDocument/2006/relationships/hyperlink" Target="https://podminky.urs.cz/item/CS_URS_2022_02/975058141" TargetMode="External" /><Relationship Id="rId4" Type="http://schemas.openxmlformats.org/officeDocument/2006/relationships/hyperlink" Target="https://podminky.urs.cz/item/CS_URS_2022_02/977211111" TargetMode="External" /><Relationship Id="rId5" Type="http://schemas.openxmlformats.org/officeDocument/2006/relationships/hyperlink" Target="https://podminky.urs.cz/item/CS_URS_2022_02/977211112" TargetMode="External" /><Relationship Id="rId6" Type="http://schemas.openxmlformats.org/officeDocument/2006/relationships/hyperlink" Target="https://podminky.urs.cz/item/CS_URS_2022_02/977211113" TargetMode="External" /><Relationship Id="rId7" Type="http://schemas.openxmlformats.org/officeDocument/2006/relationships/hyperlink" Target="https://podminky.urs.cz/item/CS_URS_2022_02/981013715" TargetMode="External" /><Relationship Id="rId8" Type="http://schemas.openxmlformats.org/officeDocument/2006/relationships/hyperlink" Target="https://podminky.urs.cz/item/CS_URS_2022_02/997006007" TargetMode="External" /><Relationship Id="rId9" Type="http://schemas.openxmlformats.org/officeDocument/2006/relationships/hyperlink" Target="https://podminky.urs.cz/item/CS_URS_2022_02/997006511" TargetMode="External" /><Relationship Id="rId10" Type="http://schemas.openxmlformats.org/officeDocument/2006/relationships/hyperlink" Target="https://podminky.urs.cz/item/CS_URS_2022_02/997006512" TargetMode="External" /><Relationship Id="rId11" Type="http://schemas.openxmlformats.org/officeDocument/2006/relationships/hyperlink" Target="https://podminky.urs.cz/item/CS_URS_2022_02/997006519" TargetMode="External" /><Relationship Id="rId12" Type="http://schemas.openxmlformats.org/officeDocument/2006/relationships/hyperlink" Target="https://podminky.urs.cz/item/CS_URS_2022_02/997006551" TargetMode="External" /><Relationship Id="rId13" Type="http://schemas.openxmlformats.org/officeDocument/2006/relationships/hyperlink" Target="https://podminky.urs.cz/item/CS_URS_2022_02/997013861" TargetMode="External" /><Relationship Id="rId14" Type="http://schemas.openxmlformats.org/officeDocument/2006/relationships/hyperlink" Target="https://podminky.urs.cz/item/CS_URS_2022_02/997013871" TargetMode="External" /><Relationship Id="rId15" Type="http://schemas.openxmlformats.org/officeDocument/2006/relationships/hyperlink" Target="https://podminky.urs.cz/item/CS_URS_2022_02/998018002" TargetMode="External" /><Relationship Id="rId16" Type="http://schemas.openxmlformats.org/officeDocument/2006/relationships/hyperlink" Target="https://podminky.urs.cz/item/CS_URS_2022_02/013264000" TargetMode="External" /><Relationship Id="rId17" Type="http://schemas.openxmlformats.org/officeDocument/2006/relationships/hyperlink" Target="https://podminky.urs.cz/item/CS_URS_2022_02/034103000" TargetMode="External" /><Relationship Id="rId18" Type="http://schemas.openxmlformats.org/officeDocument/2006/relationships/hyperlink" Target="https://podminky.urs.cz/item/CS_URS_2022_02/034603000" TargetMode="External" /><Relationship Id="rId19" Type="http://schemas.openxmlformats.org/officeDocument/2006/relationships/hyperlink" Target="https://podminky.urs.cz/item/CS_URS_2022_02/072103001" TargetMode="External" /><Relationship Id="rId20" Type="http://schemas.openxmlformats.org/officeDocument/2006/relationships/hyperlink" Target="https://podminky.urs.cz/item/CS_URS_2022_02/072103011" TargetMode="External" /><Relationship Id="rId2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311272031" TargetMode="External" /><Relationship Id="rId2" Type="http://schemas.openxmlformats.org/officeDocument/2006/relationships/hyperlink" Target="https://podminky.urs.cz/item/CS_URS_2022_02/311272111" TargetMode="External" /><Relationship Id="rId3" Type="http://schemas.openxmlformats.org/officeDocument/2006/relationships/hyperlink" Target="https://podminky.urs.cz/item/CS_URS_2022_02/311272211" TargetMode="External" /><Relationship Id="rId4" Type="http://schemas.openxmlformats.org/officeDocument/2006/relationships/hyperlink" Target="https://podminky.urs.cz/item/CS_URS_2022_02/317941121" TargetMode="External" /><Relationship Id="rId5" Type="http://schemas.openxmlformats.org/officeDocument/2006/relationships/hyperlink" Target="https://podminky.urs.cz/item/CS_URS_2022_02/317944321" TargetMode="External" /><Relationship Id="rId6" Type="http://schemas.openxmlformats.org/officeDocument/2006/relationships/hyperlink" Target="https://podminky.urs.cz/item/CS_URS_2022_02/342291143" TargetMode="External" /><Relationship Id="rId7" Type="http://schemas.openxmlformats.org/officeDocument/2006/relationships/hyperlink" Target="https://podminky.urs.cz/item/CS_URS_2022_02/349231811" TargetMode="External" /><Relationship Id="rId8" Type="http://schemas.openxmlformats.org/officeDocument/2006/relationships/hyperlink" Target="https://podminky.urs.cz/item/CS_URS_2022_02/612335302" TargetMode="External" /><Relationship Id="rId9" Type="http://schemas.openxmlformats.org/officeDocument/2006/relationships/hyperlink" Target="https://podminky.urs.cz/item/CS_URS_2022_02/615142012" TargetMode="External" /><Relationship Id="rId10" Type="http://schemas.openxmlformats.org/officeDocument/2006/relationships/hyperlink" Target="https://podminky.urs.cz/item/CS_URS_2022_02/629135102" TargetMode="External" /><Relationship Id="rId11" Type="http://schemas.openxmlformats.org/officeDocument/2006/relationships/hyperlink" Target="https://podminky.urs.cz/item/CS_URS_2022_02/941221111" TargetMode="External" /><Relationship Id="rId12" Type="http://schemas.openxmlformats.org/officeDocument/2006/relationships/hyperlink" Target="https://podminky.urs.cz/item/CS_URS_2022_02/941221211" TargetMode="External" /><Relationship Id="rId13" Type="http://schemas.openxmlformats.org/officeDocument/2006/relationships/hyperlink" Target="https://podminky.urs.cz/item/CS_URS_2022_02/941221811" TargetMode="External" /><Relationship Id="rId14" Type="http://schemas.openxmlformats.org/officeDocument/2006/relationships/hyperlink" Target="https://podminky.urs.cz/item/CS_URS_2022_02/944511111" TargetMode="External" /><Relationship Id="rId15" Type="http://schemas.openxmlformats.org/officeDocument/2006/relationships/hyperlink" Target="https://podminky.urs.cz/item/CS_URS_2022_02/944511211" TargetMode="External" /><Relationship Id="rId16" Type="http://schemas.openxmlformats.org/officeDocument/2006/relationships/hyperlink" Target="https://podminky.urs.cz/item/CS_URS_2022_02/944511811" TargetMode="External" /><Relationship Id="rId17" Type="http://schemas.openxmlformats.org/officeDocument/2006/relationships/hyperlink" Target="https://podminky.urs.cz/item/CS_URS_2022_02/949101112" TargetMode="External" /><Relationship Id="rId18" Type="http://schemas.openxmlformats.org/officeDocument/2006/relationships/hyperlink" Target="https://podminky.urs.cz/item/CS_URS_2022_02/952901111" TargetMode="External" /><Relationship Id="rId19" Type="http://schemas.openxmlformats.org/officeDocument/2006/relationships/hyperlink" Target="https://podminky.urs.cz/item/CS_URS_2022_02/961044111" TargetMode="External" /><Relationship Id="rId20" Type="http://schemas.openxmlformats.org/officeDocument/2006/relationships/hyperlink" Target="https://podminky.urs.cz/item/CS_URS_2022_02/962042521" TargetMode="External" /><Relationship Id="rId21" Type="http://schemas.openxmlformats.org/officeDocument/2006/relationships/hyperlink" Target="https://podminky.urs.cz/item/CS_URS_2022_02/962052211" TargetMode="External" /><Relationship Id="rId22" Type="http://schemas.openxmlformats.org/officeDocument/2006/relationships/hyperlink" Target="https://podminky.urs.cz/item/CS_URS_2022_02/963012510" TargetMode="External" /><Relationship Id="rId23" Type="http://schemas.openxmlformats.org/officeDocument/2006/relationships/hyperlink" Target="https://podminky.urs.cz/item/CS_URS_2022_02/965045113" TargetMode="External" /><Relationship Id="rId24" Type="http://schemas.openxmlformats.org/officeDocument/2006/relationships/hyperlink" Target="https://podminky.urs.cz/item/CS_URS_2022_02/968072354" TargetMode="External" /><Relationship Id="rId25" Type="http://schemas.openxmlformats.org/officeDocument/2006/relationships/hyperlink" Target="https://podminky.urs.cz/item/CS_URS_2022_02/968072455" TargetMode="External" /><Relationship Id="rId26" Type="http://schemas.openxmlformats.org/officeDocument/2006/relationships/hyperlink" Target="https://podminky.urs.cz/item/CS_URS_2022_02/968072456" TargetMode="External" /><Relationship Id="rId27" Type="http://schemas.openxmlformats.org/officeDocument/2006/relationships/hyperlink" Target="https://podminky.urs.cz/item/CS_URS_2022_02/968082015" TargetMode="External" /><Relationship Id="rId28" Type="http://schemas.openxmlformats.org/officeDocument/2006/relationships/hyperlink" Target="https://podminky.urs.cz/item/CS_URS_2022_02/968082016" TargetMode="External" /><Relationship Id="rId29" Type="http://schemas.openxmlformats.org/officeDocument/2006/relationships/hyperlink" Target="https://podminky.urs.cz/item/CS_URS_2022_02/968082018" TargetMode="External" /><Relationship Id="rId30" Type="http://schemas.openxmlformats.org/officeDocument/2006/relationships/hyperlink" Target="https://podminky.urs.cz/item/CS_URS_2022_02/971033631" TargetMode="External" /><Relationship Id="rId31" Type="http://schemas.openxmlformats.org/officeDocument/2006/relationships/hyperlink" Target="https://podminky.urs.cz/item/CS_URS_2022_02/971033641" TargetMode="External" /><Relationship Id="rId32" Type="http://schemas.openxmlformats.org/officeDocument/2006/relationships/hyperlink" Target="https://podminky.urs.cz/item/CS_URS_2022_02/971052651" TargetMode="External" /><Relationship Id="rId33" Type="http://schemas.openxmlformats.org/officeDocument/2006/relationships/hyperlink" Target="https://podminky.urs.cz/item/CS_URS_2022_02/973031335" TargetMode="External" /><Relationship Id="rId34" Type="http://schemas.openxmlformats.org/officeDocument/2006/relationships/hyperlink" Target="https://podminky.urs.cz/item/CS_URS_2022_02/975053141" TargetMode="External" /><Relationship Id="rId35" Type="http://schemas.openxmlformats.org/officeDocument/2006/relationships/hyperlink" Target="https://podminky.urs.cz/item/CS_URS_2022_02/975058141" TargetMode="External" /><Relationship Id="rId36" Type="http://schemas.openxmlformats.org/officeDocument/2006/relationships/hyperlink" Target="https://podminky.urs.cz/item/CS_URS_2022_02/978011191" TargetMode="External" /><Relationship Id="rId37" Type="http://schemas.openxmlformats.org/officeDocument/2006/relationships/hyperlink" Target="https://podminky.urs.cz/item/CS_URS_2022_02/985112112" TargetMode="External" /><Relationship Id="rId38" Type="http://schemas.openxmlformats.org/officeDocument/2006/relationships/hyperlink" Target="https://podminky.urs.cz/item/CS_URS_2022_02/985112113" TargetMode="External" /><Relationship Id="rId39" Type="http://schemas.openxmlformats.org/officeDocument/2006/relationships/hyperlink" Target="https://podminky.urs.cz/item/CS_URS_2022_02/985112132" TargetMode="External" /><Relationship Id="rId40" Type="http://schemas.openxmlformats.org/officeDocument/2006/relationships/hyperlink" Target="https://podminky.urs.cz/item/CS_URS_2022_02/985112133" TargetMode="External" /><Relationship Id="rId41" Type="http://schemas.openxmlformats.org/officeDocument/2006/relationships/hyperlink" Target="https://podminky.urs.cz/item/CS_URS_2022_02/985121122" TargetMode="External" /><Relationship Id="rId42" Type="http://schemas.openxmlformats.org/officeDocument/2006/relationships/hyperlink" Target="https://podminky.urs.cz/item/CS_URS_2022_02/985131311" TargetMode="External" /><Relationship Id="rId43" Type="http://schemas.openxmlformats.org/officeDocument/2006/relationships/hyperlink" Target="https://podminky.urs.cz/item/CS_URS_2022_02/985139112" TargetMode="External" /><Relationship Id="rId44" Type="http://schemas.openxmlformats.org/officeDocument/2006/relationships/hyperlink" Target="https://podminky.urs.cz/item/CS_URS_2022_02/985311112" TargetMode="External" /><Relationship Id="rId45" Type="http://schemas.openxmlformats.org/officeDocument/2006/relationships/hyperlink" Target="https://podminky.urs.cz/item/CS_URS_2022_02/985311114" TargetMode="External" /><Relationship Id="rId46" Type="http://schemas.openxmlformats.org/officeDocument/2006/relationships/hyperlink" Target="https://podminky.urs.cz/item/CS_URS_2022_02/985311312" TargetMode="External" /><Relationship Id="rId47" Type="http://schemas.openxmlformats.org/officeDocument/2006/relationships/hyperlink" Target="https://podminky.urs.cz/item/CS_URS_2022_02/985311314" TargetMode="External" /><Relationship Id="rId48" Type="http://schemas.openxmlformats.org/officeDocument/2006/relationships/hyperlink" Target="https://podminky.urs.cz/item/CS_URS_2022_02/985321111" TargetMode="External" /><Relationship Id="rId49" Type="http://schemas.openxmlformats.org/officeDocument/2006/relationships/hyperlink" Target="https://podminky.urs.cz/item/CS_URS_2022_02/985321112" TargetMode="External" /><Relationship Id="rId50" Type="http://schemas.openxmlformats.org/officeDocument/2006/relationships/hyperlink" Target="https://podminky.urs.cz/item/CS_URS_2022_02/985323111" TargetMode="External" /><Relationship Id="rId51" Type="http://schemas.openxmlformats.org/officeDocument/2006/relationships/hyperlink" Target="https://podminky.urs.cz/item/CS_URS_2022_02/985331213" TargetMode="External" /><Relationship Id="rId52" Type="http://schemas.openxmlformats.org/officeDocument/2006/relationships/hyperlink" Target="https://podminky.urs.cz/item/CS_URS_2022_02/997013213" TargetMode="External" /><Relationship Id="rId53" Type="http://schemas.openxmlformats.org/officeDocument/2006/relationships/hyperlink" Target="https://podminky.urs.cz/item/CS_URS_2022_02/997013219" TargetMode="External" /><Relationship Id="rId54" Type="http://schemas.openxmlformats.org/officeDocument/2006/relationships/hyperlink" Target="https://podminky.urs.cz/item/CS_URS_2022_02/997013501" TargetMode="External" /><Relationship Id="rId55" Type="http://schemas.openxmlformats.org/officeDocument/2006/relationships/hyperlink" Target="https://podminky.urs.cz/item/CS_URS_2022_02/997013509" TargetMode="External" /><Relationship Id="rId56" Type="http://schemas.openxmlformats.org/officeDocument/2006/relationships/hyperlink" Target="https://podminky.urs.cz/item/CS_URS_2022_02/997013813" TargetMode="External" /><Relationship Id="rId57" Type="http://schemas.openxmlformats.org/officeDocument/2006/relationships/hyperlink" Target="https://podminky.urs.cz/item/CS_URS_2022_02/997013814" TargetMode="External" /><Relationship Id="rId58" Type="http://schemas.openxmlformats.org/officeDocument/2006/relationships/hyperlink" Target="https://podminky.urs.cz/item/CS_URS_2022_02/997013847" TargetMode="External" /><Relationship Id="rId59" Type="http://schemas.openxmlformats.org/officeDocument/2006/relationships/hyperlink" Target="https://podminky.urs.cz/item/CS_URS_2022_02/997013862" TargetMode="External" /><Relationship Id="rId60" Type="http://schemas.openxmlformats.org/officeDocument/2006/relationships/hyperlink" Target="https://podminky.urs.cz/item/CS_URS_2022_02/997013867" TargetMode="External" /><Relationship Id="rId61" Type="http://schemas.openxmlformats.org/officeDocument/2006/relationships/hyperlink" Target="https://podminky.urs.cz/item/CS_URS_2022_02/997013871" TargetMode="External" /><Relationship Id="rId62" Type="http://schemas.openxmlformats.org/officeDocument/2006/relationships/hyperlink" Target="https://podminky.urs.cz/item/CS_URS_2022_02/998018002" TargetMode="External" /><Relationship Id="rId63" Type="http://schemas.openxmlformats.org/officeDocument/2006/relationships/hyperlink" Target="https://podminky.urs.cz/item/CS_URS_2022_02/712340833" TargetMode="External" /><Relationship Id="rId64" Type="http://schemas.openxmlformats.org/officeDocument/2006/relationships/hyperlink" Target="https://podminky.urs.cz/item/CS_URS_2022_02/712340834" TargetMode="External" /><Relationship Id="rId65" Type="http://schemas.openxmlformats.org/officeDocument/2006/relationships/hyperlink" Target="https://podminky.urs.cz/item/CS_URS_2022_02/712300845" TargetMode="External" /><Relationship Id="rId66" Type="http://schemas.openxmlformats.org/officeDocument/2006/relationships/hyperlink" Target="https://podminky.urs.cz/item/CS_URS_2022_02/713140814" TargetMode="External" /><Relationship Id="rId67" Type="http://schemas.openxmlformats.org/officeDocument/2006/relationships/hyperlink" Target="https://podminky.urs.cz/item/CS_URS_2022_02/713140823" TargetMode="External" /><Relationship Id="rId68" Type="http://schemas.openxmlformats.org/officeDocument/2006/relationships/hyperlink" Target="https://podminky.urs.cz/item/CS_URS_2022_02/762331813" TargetMode="External" /><Relationship Id="rId69" Type="http://schemas.openxmlformats.org/officeDocument/2006/relationships/hyperlink" Target="https://podminky.urs.cz/item/CS_URS_2022_02/762341832" TargetMode="External" /><Relationship Id="rId70" Type="http://schemas.openxmlformats.org/officeDocument/2006/relationships/hyperlink" Target="https://podminky.urs.cz/item/CS_URS_2022_02/764002821" TargetMode="External" /><Relationship Id="rId71" Type="http://schemas.openxmlformats.org/officeDocument/2006/relationships/hyperlink" Target="https://podminky.urs.cz/item/CS_URS_2022_02/764002841" TargetMode="External" /><Relationship Id="rId72" Type="http://schemas.openxmlformats.org/officeDocument/2006/relationships/hyperlink" Target="https://podminky.urs.cz/item/CS_URS_2022_02/764002851" TargetMode="External" /><Relationship Id="rId73" Type="http://schemas.openxmlformats.org/officeDocument/2006/relationships/hyperlink" Target="https://podminky.urs.cz/item/CS_URS_2022_02/764002881" TargetMode="External" /><Relationship Id="rId74" Type="http://schemas.openxmlformats.org/officeDocument/2006/relationships/hyperlink" Target="https://podminky.urs.cz/item/CS_URS_2022_02/767311831" TargetMode="External" /><Relationship Id="rId75" Type="http://schemas.openxmlformats.org/officeDocument/2006/relationships/hyperlink" Target="https://podminky.urs.cz/item/CS_URS_2022_02/767321810" TargetMode="External" /><Relationship Id="rId76" Type="http://schemas.openxmlformats.org/officeDocument/2006/relationships/hyperlink" Target="https://podminky.urs.cz/item/CS_URS_2022_02/HZS1292" TargetMode="External" /><Relationship Id="rId77"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311272031" TargetMode="External" /><Relationship Id="rId2" Type="http://schemas.openxmlformats.org/officeDocument/2006/relationships/hyperlink" Target="https://podminky.urs.cz/item/CS_URS_2022_02/631319013" TargetMode="External" /><Relationship Id="rId3" Type="http://schemas.openxmlformats.org/officeDocument/2006/relationships/hyperlink" Target="https://podminky.urs.cz/item/CS_URS_2022_02/631319185" TargetMode="External" /><Relationship Id="rId4" Type="http://schemas.openxmlformats.org/officeDocument/2006/relationships/hyperlink" Target="https://podminky.urs.cz/item/CS_URS_2022_02/631342132" TargetMode="External" /><Relationship Id="rId5" Type="http://schemas.openxmlformats.org/officeDocument/2006/relationships/hyperlink" Target="https://podminky.urs.cz/item/CS_URS_2022_02/634661111" TargetMode="External" /><Relationship Id="rId6" Type="http://schemas.openxmlformats.org/officeDocument/2006/relationships/hyperlink" Target="https://podminky.urs.cz/item/CS_URS_2022_02/634911112" TargetMode="External" /><Relationship Id="rId7" Type="http://schemas.openxmlformats.org/officeDocument/2006/relationships/hyperlink" Target="https://podminky.urs.cz/item/CS_URS_2022_02/949101111" TargetMode="External" /><Relationship Id="rId8" Type="http://schemas.openxmlformats.org/officeDocument/2006/relationships/hyperlink" Target="https://podminky.urs.cz/item/CS_URS_2022_02/952901111" TargetMode="External" /><Relationship Id="rId9" Type="http://schemas.openxmlformats.org/officeDocument/2006/relationships/hyperlink" Target="https://podminky.urs.cz/item/CS_URS_2022_02/952902121" TargetMode="External" /><Relationship Id="rId10" Type="http://schemas.openxmlformats.org/officeDocument/2006/relationships/hyperlink" Target="https://podminky.urs.cz/item/CS_URS_2022_02/952902131" TargetMode="External" /><Relationship Id="rId11" Type="http://schemas.openxmlformats.org/officeDocument/2006/relationships/hyperlink" Target="https://podminky.urs.cz/item/CS_URS_2022_02/977151117" TargetMode="External" /><Relationship Id="rId12" Type="http://schemas.openxmlformats.org/officeDocument/2006/relationships/hyperlink" Target="https://podminky.urs.cz/item/CS_URS_2022_02/977151119" TargetMode="External" /><Relationship Id="rId13" Type="http://schemas.openxmlformats.org/officeDocument/2006/relationships/hyperlink" Target="https://podminky.urs.cz/item/CS_URS_2022_02/977151123" TargetMode="External" /><Relationship Id="rId14" Type="http://schemas.openxmlformats.org/officeDocument/2006/relationships/hyperlink" Target="https://podminky.urs.cz/item/CS_URS_2022_02/997013213" TargetMode="External" /><Relationship Id="rId15" Type="http://schemas.openxmlformats.org/officeDocument/2006/relationships/hyperlink" Target="https://podminky.urs.cz/item/CS_URS_2022_02/997013219" TargetMode="External" /><Relationship Id="rId16" Type="http://schemas.openxmlformats.org/officeDocument/2006/relationships/hyperlink" Target="https://podminky.urs.cz/item/CS_URS_2022_02/997013501" TargetMode="External" /><Relationship Id="rId17" Type="http://schemas.openxmlformats.org/officeDocument/2006/relationships/hyperlink" Target="https://podminky.urs.cz/item/CS_URS_2022_02/997013509" TargetMode="External" /><Relationship Id="rId18" Type="http://schemas.openxmlformats.org/officeDocument/2006/relationships/hyperlink" Target="https://podminky.urs.cz/item/CS_URS_2022_02/997013871" TargetMode="External" /><Relationship Id="rId19" Type="http://schemas.openxmlformats.org/officeDocument/2006/relationships/hyperlink" Target="https://podminky.urs.cz/item/CS_URS_2022_02/998018002" TargetMode="External" /><Relationship Id="rId20" Type="http://schemas.openxmlformats.org/officeDocument/2006/relationships/hyperlink" Target="https://podminky.urs.cz/item/CS_URS_2022_02/712311101" TargetMode="External" /><Relationship Id="rId21" Type="http://schemas.openxmlformats.org/officeDocument/2006/relationships/hyperlink" Target="https://podminky.urs.cz/item/CS_URS_2022_02/712341559" TargetMode="External" /><Relationship Id="rId22" Type="http://schemas.openxmlformats.org/officeDocument/2006/relationships/hyperlink" Target="https://podminky.urs.cz/item/CS_URS_2022_02/998712102" TargetMode="External" /><Relationship Id="rId23" Type="http://schemas.openxmlformats.org/officeDocument/2006/relationships/hyperlink" Target="https://podminky.urs.cz/item/CS_URS_2022_02/998712181" TargetMode="External" /><Relationship Id="rId24" Type="http://schemas.openxmlformats.org/officeDocument/2006/relationships/hyperlink" Target="https://podminky.urs.cz/item/CS_URS_2022_02/762523963" TargetMode="External" /><Relationship Id="rId25" Type="http://schemas.openxmlformats.org/officeDocument/2006/relationships/hyperlink" Target="https://podminky.urs.cz/item/CS_URS_2022_02/998762102" TargetMode="External" /><Relationship Id="rId26" Type="http://schemas.openxmlformats.org/officeDocument/2006/relationships/hyperlink" Target="https://podminky.urs.cz/item/CS_URS_2022_02/998762181" TargetMode="External" /><Relationship Id="rId27" Type="http://schemas.openxmlformats.org/officeDocument/2006/relationships/hyperlink" Target="https://podminky.urs.cz/item/CS_URS_2022_02/HZS1292" TargetMode="External" /><Relationship Id="rId28" Type="http://schemas.openxmlformats.org/officeDocument/2006/relationships/hyperlink" Target="https://podminky.urs.cz/item/CS_URS_2022_02/013244000" TargetMode="External" /><Relationship Id="rId29"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949101111" TargetMode="External" /><Relationship Id="rId2" Type="http://schemas.openxmlformats.org/officeDocument/2006/relationships/hyperlink" Target="https://podminky.urs.cz/item/CS_URS_2022_02/952901111" TargetMode="External" /><Relationship Id="rId3" Type="http://schemas.openxmlformats.org/officeDocument/2006/relationships/hyperlink" Target="https://podminky.urs.cz/item/CS_URS_2022_02/962031133" TargetMode="External" /><Relationship Id="rId4" Type="http://schemas.openxmlformats.org/officeDocument/2006/relationships/hyperlink" Target="https://podminky.urs.cz/item/CS_URS_2022_02/962084121" TargetMode="External" /><Relationship Id="rId5" Type="http://schemas.openxmlformats.org/officeDocument/2006/relationships/hyperlink" Target="https://podminky.urs.cz/item/CS_URS_2022_02/965042141" TargetMode="External" /><Relationship Id="rId6" Type="http://schemas.openxmlformats.org/officeDocument/2006/relationships/hyperlink" Target="https://podminky.urs.cz/item/CS_URS_2022_02/965049111" TargetMode="External" /><Relationship Id="rId7" Type="http://schemas.openxmlformats.org/officeDocument/2006/relationships/hyperlink" Target="https://podminky.urs.cz/item/CS_URS_2022_02/965081223" TargetMode="External" /><Relationship Id="rId8" Type="http://schemas.openxmlformats.org/officeDocument/2006/relationships/hyperlink" Target="https://podminky.urs.cz/item/CS_URS_2022_02/968072455" TargetMode="External" /><Relationship Id="rId9" Type="http://schemas.openxmlformats.org/officeDocument/2006/relationships/hyperlink" Target="https://podminky.urs.cz/item/CS_URS_2022_02/978013191" TargetMode="External" /><Relationship Id="rId10" Type="http://schemas.openxmlformats.org/officeDocument/2006/relationships/hyperlink" Target="https://podminky.urs.cz/item/CS_URS_2022_02/985112132" TargetMode="External" /><Relationship Id="rId11" Type="http://schemas.openxmlformats.org/officeDocument/2006/relationships/hyperlink" Target="https://podminky.urs.cz/item/CS_URS_2022_02/985112133" TargetMode="External" /><Relationship Id="rId12" Type="http://schemas.openxmlformats.org/officeDocument/2006/relationships/hyperlink" Target="https://podminky.urs.cz/item/CS_URS_2022_02/985121122" TargetMode="External" /><Relationship Id="rId13" Type="http://schemas.openxmlformats.org/officeDocument/2006/relationships/hyperlink" Target="https://podminky.urs.cz/item/CS_URS_2022_02/985131311" TargetMode="External" /><Relationship Id="rId14" Type="http://schemas.openxmlformats.org/officeDocument/2006/relationships/hyperlink" Target="https://podminky.urs.cz/item/CS_URS_2022_02/985311312" TargetMode="External" /><Relationship Id="rId15" Type="http://schemas.openxmlformats.org/officeDocument/2006/relationships/hyperlink" Target="https://podminky.urs.cz/item/CS_URS_2022_02/985311314" TargetMode="External" /><Relationship Id="rId16" Type="http://schemas.openxmlformats.org/officeDocument/2006/relationships/hyperlink" Target="https://podminky.urs.cz/item/CS_URS_2022_02/985312131" TargetMode="External" /><Relationship Id="rId17" Type="http://schemas.openxmlformats.org/officeDocument/2006/relationships/hyperlink" Target="https://podminky.urs.cz/item/CS_URS_2022_02/985321112" TargetMode="External" /><Relationship Id="rId18" Type="http://schemas.openxmlformats.org/officeDocument/2006/relationships/hyperlink" Target="https://podminky.urs.cz/item/CS_URS_2022_02/985323111" TargetMode="External" /><Relationship Id="rId19" Type="http://schemas.openxmlformats.org/officeDocument/2006/relationships/hyperlink" Target="https://podminky.urs.cz/item/CS_URS_2022_02/985331213" TargetMode="External" /><Relationship Id="rId20" Type="http://schemas.openxmlformats.org/officeDocument/2006/relationships/hyperlink" Target="https://podminky.urs.cz/item/CS_URS_2022_02/985331217" TargetMode="External" /><Relationship Id="rId21" Type="http://schemas.openxmlformats.org/officeDocument/2006/relationships/hyperlink" Target="https://podminky.urs.cz/item/CS_URS_2022_02/997013213" TargetMode="External" /><Relationship Id="rId22" Type="http://schemas.openxmlformats.org/officeDocument/2006/relationships/hyperlink" Target="https://podminky.urs.cz/item/CS_URS_2022_02/997013219" TargetMode="External" /><Relationship Id="rId23" Type="http://schemas.openxmlformats.org/officeDocument/2006/relationships/hyperlink" Target="https://podminky.urs.cz/item/CS_URS_2022_02/997013501" TargetMode="External" /><Relationship Id="rId24" Type="http://schemas.openxmlformats.org/officeDocument/2006/relationships/hyperlink" Target="https://podminky.urs.cz/item/CS_URS_2022_02/997013509" TargetMode="External" /><Relationship Id="rId25" Type="http://schemas.openxmlformats.org/officeDocument/2006/relationships/hyperlink" Target="https://podminky.urs.cz/item/CS_URS_2022_02/997013871" TargetMode="External" /><Relationship Id="rId26" Type="http://schemas.openxmlformats.org/officeDocument/2006/relationships/hyperlink" Target="https://podminky.urs.cz/item/CS_URS_2022_02/998018002" TargetMode="External" /><Relationship Id="rId27" Type="http://schemas.openxmlformats.org/officeDocument/2006/relationships/hyperlink" Target="https://podminky.urs.cz/item/CS_URS_2022_02/766691914" TargetMode="External" /><Relationship Id="rId28" Type="http://schemas.openxmlformats.org/officeDocument/2006/relationships/hyperlink" Target="https://podminky.urs.cz/item/CS_URS_2022_02/HZS1292" TargetMode="External" /><Relationship Id="rId29"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411351011" TargetMode="External" /><Relationship Id="rId2" Type="http://schemas.openxmlformats.org/officeDocument/2006/relationships/hyperlink" Target="https://podminky.urs.cz/item/CS_URS_2022_02/411351012" TargetMode="External" /><Relationship Id="rId3" Type="http://schemas.openxmlformats.org/officeDocument/2006/relationships/hyperlink" Target="https://podminky.urs.cz/item/CS_URS_2022_02/411354313" TargetMode="External" /><Relationship Id="rId4" Type="http://schemas.openxmlformats.org/officeDocument/2006/relationships/hyperlink" Target="https://podminky.urs.cz/item/CS_URS_2022_02/411354314" TargetMode="External" /><Relationship Id="rId5" Type="http://schemas.openxmlformats.org/officeDocument/2006/relationships/hyperlink" Target="https://podminky.urs.cz/item/CS_URS_2022_02/949101111" TargetMode="External" /><Relationship Id="rId6" Type="http://schemas.openxmlformats.org/officeDocument/2006/relationships/hyperlink" Target="https://podminky.urs.cz/item/CS_URS_2022_02/952901111" TargetMode="External" /><Relationship Id="rId7" Type="http://schemas.openxmlformats.org/officeDocument/2006/relationships/hyperlink" Target="https://podminky.urs.cz/item/CS_URS_2022_02/962031133" TargetMode="External" /><Relationship Id="rId8" Type="http://schemas.openxmlformats.org/officeDocument/2006/relationships/hyperlink" Target="https://podminky.urs.cz/item/CS_URS_2022_02/963051113" TargetMode="External" /><Relationship Id="rId9" Type="http://schemas.openxmlformats.org/officeDocument/2006/relationships/hyperlink" Target="https://podminky.urs.cz/item/CS_URS_2022_02/975053141" TargetMode="External" /><Relationship Id="rId10" Type="http://schemas.openxmlformats.org/officeDocument/2006/relationships/hyperlink" Target="https://podminky.urs.cz/item/CS_URS_2022_02/975058141" TargetMode="External" /><Relationship Id="rId11" Type="http://schemas.openxmlformats.org/officeDocument/2006/relationships/hyperlink" Target="https://podminky.urs.cz/item/CS_URS_2022_02/977211112" TargetMode="External" /><Relationship Id="rId12" Type="http://schemas.openxmlformats.org/officeDocument/2006/relationships/hyperlink" Target="https://podminky.urs.cz/item/CS_URS_2022_02/997013213" TargetMode="External" /><Relationship Id="rId13" Type="http://schemas.openxmlformats.org/officeDocument/2006/relationships/hyperlink" Target="https://podminky.urs.cz/item/CS_URS_2022_02/997013219" TargetMode="External" /><Relationship Id="rId14" Type="http://schemas.openxmlformats.org/officeDocument/2006/relationships/hyperlink" Target="https://podminky.urs.cz/item/CS_URS_2022_02/997013501" TargetMode="External" /><Relationship Id="rId15" Type="http://schemas.openxmlformats.org/officeDocument/2006/relationships/hyperlink" Target="https://podminky.urs.cz/item/CS_URS_2022_02/997013509" TargetMode="External" /><Relationship Id="rId16" Type="http://schemas.openxmlformats.org/officeDocument/2006/relationships/hyperlink" Target="https://podminky.urs.cz/item/CS_URS_2022_02/997013871" TargetMode="External" /><Relationship Id="rId17" Type="http://schemas.openxmlformats.org/officeDocument/2006/relationships/hyperlink" Target="https://podminky.urs.cz/item/CS_URS_2022_02/998018002" TargetMode="External" /><Relationship Id="rId18" Type="http://schemas.openxmlformats.org/officeDocument/2006/relationships/hyperlink" Target="https://podminky.urs.cz/item/CS_URS_2022_02/767995116" TargetMode="External" /><Relationship Id="rId19" Type="http://schemas.openxmlformats.org/officeDocument/2006/relationships/hyperlink" Target="https://podminky.urs.cz/item/CS_URS_2022_02/998767102" TargetMode="External" /><Relationship Id="rId20" Type="http://schemas.openxmlformats.org/officeDocument/2006/relationships/hyperlink" Target="https://podminky.urs.cz/item/CS_URS_2022_02/998767181" TargetMode="External" /><Relationship Id="rId21" Type="http://schemas.openxmlformats.org/officeDocument/2006/relationships/hyperlink" Target="https://podminky.urs.cz/item/CS_URS_2022_02/783301303" TargetMode="External" /><Relationship Id="rId22" Type="http://schemas.openxmlformats.org/officeDocument/2006/relationships/hyperlink" Target="https://podminky.urs.cz/item/CS_URS_2022_02/783301313" TargetMode="External" /><Relationship Id="rId23" Type="http://schemas.openxmlformats.org/officeDocument/2006/relationships/hyperlink" Target="https://podminky.urs.cz/item/CS_URS_2022_02/783301401" TargetMode="External" /><Relationship Id="rId24" Type="http://schemas.openxmlformats.org/officeDocument/2006/relationships/hyperlink" Target="https://podminky.urs.cz/item/CS_URS_2022_02/783314203" TargetMode="External" /><Relationship Id="rId25" Type="http://schemas.openxmlformats.org/officeDocument/2006/relationships/hyperlink" Target="https://podminky.urs.cz/item/CS_URS_2022_02/HZS1292" TargetMode="External" /><Relationship Id="rId26"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6"/>
  <sheetViews>
    <sheetView showGridLines="0" tabSelected="1" workbookViewId="0" topLeftCell="A1">
      <selection activeCell="T24" sqref="T2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03" t="s">
        <v>6</v>
      </c>
      <c r="AS2" s="288"/>
      <c r="AT2" s="288"/>
      <c r="AU2" s="288"/>
      <c r="AV2" s="288"/>
      <c r="AW2" s="288"/>
      <c r="AX2" s="288"/>
      <c r="AY2" s="288"/>
      <c r="AZ2" s="288"/>
      <c r="BA2" s="288"/>
      <c r="BB2" s="288"/>
      <c r="BC2" s="288"/>
      <c r="BD2" s="288"/>
      <c r="BE2" s="288"/>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287" t="s">
        <v>15</v>
      </c>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R5" s="21"/>
      <c r="BE5" s="284" t="s">
        <v>16</v>
      </c>
      <c r="BS5" s="18" t="s">
        <v>7</v>
      </c>
    </row>
    <row r="6" spans="2:71" ht="36.95" customHeight="1">
      <c r="B6" s="21"/>
      <c r="D6" s="27" t="s">
        <v>17</v>
      </c>
      <c r="K6" s="289" t="s">
        <v>18</v>
      </c>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R6" s="21"/>
      <c r="BE6" s="285"/>
      <c r="BS6" s="18" t="s">
        <v>7</v>
      </c>
    </row>
    <row r="7" spans="2:71" ht="12" customHeight="1">
      <c r="B7" s="21"/>
      <c r="D7" s="28" t="s">
        <v>19</v>
      </c>
      <c r="K7" s="26" t="s">
        <v>3</v>
      </c>
      <c r="AK7" s="28" t="s">
        <v>20</v>
      </c>
      <c r="AN7" s="26" t="s">
        <v>3</v>
      </c>
      <c r="AR7" s="21"/>
      <c r="BE7" s="285"/>
      <c r="BS7" s="18" t="s">
        <v>7</v>
      </c>
    </row>
    <row r="8" spans="2:71" ht="12" customHeight="1">
      <c r="B8" s="21"/>
      <c r="D8" s="28" t="s">
        <v>21</v>
      </c>
      <c r="K8" s="26" t="s">
        <v>22</v>
      </c>
      <c r="AK8" s="28" t="s">
        <v>23</v>
      </c>
      <c r="AN8" s="29" t="s">
        <v>24</v>
      </c>
      <c r="AR8" s="21"/>
      <c r="BE8" s="285"/>
      <c r="BS8" s="18" t="s">
        <v>7</v>
      </c>
    </row>
    <row r="9" spans="2:71" ht="14.45" customHeight="1">
      <c r="B9" s="21"/>
      <c r="AR9" s="21"/>
      <c r="BE9" s="285"/>
      <c r="BS9" s="18" t="s">
        <v>7</v>
      </c>
    </row>
    <row r="10" spans="2:71" ht="12" customHeight="1">
      <c r="B10" s="21"/>
      <c r="D10" s="28" t="s">
        <v>25</v>
      </c>
      <c r="AK10" s="28" t="s">
        <v>26</v>
      </c>
      <c r="AN10" s="26" t="s">
        <v>27</v>
      </c>
      <c r="AR10" s="21"/>
      <c r="BE10" s="285"/>
      <c r="BS10" s="18" t="s">
        <v>7</v>
      </c>
    </row>
    <row r="11" spans="2:71" ht="18.4" customHeight="1">
      <c r="B11" s="21"/>
      <c r="E11" s="26" t="s">
        <v>28</v>
      </c>
      <c r="AK11" s="28" t="s">
        <v>29</v>
      </c>
      <c r="AN11" s="26" t="s">
        <v>3</v>
      </c>
      <c r="AR11" s="21"/>
      <c r="BE11" s="285"/>
      <c r="BS11" s="18" t="s">
        <v>7</v>
      </c>
    </row>
    <row r="12" spans="2:71" ht="6.95" customHeight="1">
      <c r="B12" s="21"/>
      <c r="AR12" s="21"/>
      <c r="BE12" s="285"/>
      <c r="BS12" s="18" t="s">
        <v>7</v>
      </c>
    </row>
    <row r="13" spans="2:71" ht="12" customHeight="1">
      <c r="B13" s="21"/>
      <c r="D13" s="28" t="s">
        <v>30</v>
      </c>
      <c r="AK13" s="28" t="s">
        <v>26</v>
      </c>
      <c r="AN13" s="30" t="s">
        <v>31</v>
      </c>
      <c r="AR13" s="21"/>
      <c r="BE13" s="285"/>
      <c r="BS13" s="18" t="s">
        <v>7</v>
      </c>
    </row>
    <row r="14" spans="2:71" ht="12.75">
      <c r="B14" s="21"/>
      <c r="E14" s="290" t="s">
        <v>31</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8" t="s">
        <v>29</v>
      </c>
      <c r="AN14" s="30" t="s">
        <v>31</v>
      </c>
      <c r="AR14" s="21"/>
      <c r="BE14" s="285"/>
      <c r="BS14" s="18" t="s">
        <v>7</v>
      </c>
    </row>
    <row r="15" spans="2:71" ht="6.95" customHeight="1">
      <c r="B15" s="21"/>
      <c r="AR15" s="21"/>
      <c r="BE15" s="285"/>
      <c r="BS15" s="18" t="s">
        <v>4</v>
      </c>
    </row>
    <row r="16" spans="2:71" ht="12" customHeight="1">
      <c r="B16" s="21"/>
      <c r="D16" s="28" t="s">
        <v>32</v>
      </c>
      <c r="AK16" s="28" t="s">
        <v>26</v>
      </c>
      <c r="AN16" s="26" t="s">
        <v>33</v>
      </c>
      <c r="AR16" s="21"/>
      <c r="BE16" s="285"/>
      <c r="BS16" s="18" t="s">
        <v>4</v>
      </c>
    </row>
    <row r="17" spans="2:71" ht="18.4" customHeight="1">
      <c r="B17" s="21"/>
      <c r="E17" s="26" t="s">
        <v>34</v>
      </c>
      <c r="AK17" s="28" t="s">
        <v>29</v>
      </c>
      <c r="AN17" s="26" t="s">
        <v>35</v>
      </c>
      <c r="AR17" s="21"/>
      <c r="BE17" s="285"/>
      <c r="BS17" s="18" t="s">
        <v>36</v>
      </c>
    </row>
    <row r="18" spans="2:71" ht="6.95" customHeight="1">
      <c r="B18" s="21"/>
      <c r="AR18" s="21"/>
      <c r="BE18" s="285"/>
      <c r="BS18" s="18" t="s">
        <v>7</v>
      </c>
    </row>
    <row r="19" spans="2:71" ht="12" customHeight="1">
      <c r="B19" s="21"/>
      <c r="D19" s="28" t="s">
        <v>37</v>
      </c>
      <c r="AK19" s="28" t="s">
        <v>26</v>
      </c>
      <c r="AN19" s="26" t="s">
        <v>38</v>
      </c>
      <c r="AR19" s="21"/>
      <c r="BE19" s="285"/>
      <c r="BS19" s="18" t="s">
        <v>7</v>
      </c>
    </row>
    <row r="20" spans="2:71" ht="18.4" customHeight="1">
      <c r="B20" s="21"/>
      <c r="E20" s="26" t="s">
        <v>39</v>
      </c>
      <c r="AK20" s="28" t="s">
        <v>29</v>
      </c>
      <c r="AN20" s="26" t="s">
        <v>40</v>
      </c>
      <c r="AR20" s="21"/>
      <c r="BE20" s="285"/>
      <c r="BS20" s="18" t="s">
        <v>36</v>
      </c>
    </row>
    <row r="21" spans="2:57" ht="6.95" customHeight="1">
      <c r="B21" s="21"/>
      <c r="AR21" s="21"/>
      <c r="BE21" s="285"/>
    </row>
    <row r="22" spans="2:57" ht="12" customHeight="1">
      <c r="B22" s="21"/>
      <c r="D22" s="28" t="s">
        <v>41</v>
      </c>
      <c r="AR22" s="21"/>
      <c r="BE22" s="285"/>
    </row>
    <row r="23" spans="2:57" ht="47.25" customHeight="1">
      <c r="B23" s="21"/>
      <c r="E23" s="292" t="s">
        <v>42</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R23" s="21"/>
      <c r="BE23" s="285"/>
    </row>
    <row r="24" spans="2:57" ht="6.95" customHeight="1">
      <c r="B24" s="21"/>
      <c r="AR24" s="21"/>
      <c r="BE24" s="285"/>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85"/>
    </row>
    <row r="26" spans="2:57" s="1" customFormat="1" ht="25.9" customHeight="1">
      <c r="B26" s="33"/>
      <c r="D26" s="34" t="s">
        <v>43</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93">
        <f>ROUND(AG54,2)</f>
        <v>0</v>
      </c>
      <c r="AL26" s="294"/>
      <c r="AM26" s="294"/>
      <c r="AN26" s="294"/>
      <c r="AO26" s="294"/>
      <c r="AR26" s="33"/>
      <c r="BE26" s="285"/>
    </row>
    <row r="27" spans="2:57" s="1" customFormat="1" ht="6.95" customHeight="1">
      <c r="B27" s="33"/>
      <c r="AR27" s="33"/>
      <c r="BE27" s="285"/>
    </row>
    <row r="28" spans="2:57" s="1" customFormat="1" ht="12.75">
      <c r="B28" s="33"/>
      <c r="L28" s="295" t="s">
        <v>44</v>
      </c>
      <c r="M28" s="295"/>
      <c r="N28" s="295"/>
      <c r="O28" s="295"/>
      <c r="P28" s="295"/>
      <c r="W28" s="295" t="s">
        <v>45</v>
      </c>
      <c r="X28" s="295"/>
      <c r="Y28" s="295"/>
      <c r="Z28" s="295"/>
      <c r="AA28" s="295"/>
      <c r="AB28" s="295"/>
      <c r="AC28" s="295"/>
      <c r="AD28" s="295"/>
      <c r="AE28" s="295"/>
      <c r="AK28" s="295" t="s">
        <v>46</v>
      </c>
      <c r="AL28" s="295"/>
      <c r="AM28" s="295"/>
      <c r="AN28" s="295"/>
      <c r="AO28" s="295"/>
      <c r="AR28" s="33"/>
      <c r="BE28" s="285"/>
    </row>
    <row r="29" spans="2:57" s="2" customFormat="1" ht="14.45" customHeight="1">
      <c r="B29" s="37"/>
      <c r="D29" s="28" t="s">
        <v>47</v>
      </c>
      <c r="F29" s="28" t="s">
        <v>48</v>
      </c>
      <c r="L29" s="298">
        <v>0.21</v>
      </c>
      <c r="M29" s="297"/>
      <c r="N29" s="297"/>
      <c r="O29" s="297"/>
      <c r="P29" s="297"/>
      <c r="W29" s="296">
        <f>ROUND(AZ54,2)</f>
        <v>0</v>
      </c>
      <c r="X29" s="297"/>
      <c r="Y29" s="297"/>
      <c r="Z29" s="297"/>
      <c r="AA29" s="297"/>
      <c r="AB29" s="297"/>
      <c r="AC29" s="297"/>
      <c r="AD29" s="297"/>
      <c r="AE29" s="297"/>
      <c r="AK29" s="296">
        <f>ROUND(AV54,2)</f>
        <v>0</v>
      </c>
      <c r="AL29" s="297"/>
      <c r="AM29" s="297"/>
      <c r="AN29" s="297"/>
      <c r="AO29" s="297"/>
      <c r="AR29" s="37"/>
      <c r="BE29" s="286"/>
    </row>
    <row r="30" spans="2:57" s="2" customFormat="1" ht="14.45" customHeight="1">
      <c r="B30" s="37"/>
      <c r="F30" s="28" t="s">
        <v>49</v>
      </c>
      <c r="L30" s="298">
        <v>0.15</v>
      </c>
      <c r="M30" s="297"/>
      <c r="N30" s="297"/>
      <c r="O30" s="297"/>
      <c r="P30" s="297"/>
      <c r="W30" s="296">
        <f>ROUND(BA54,2)</f>
        <v>0</v>
      </c>
      <c r="X30" s="297"/>
      <c r="Y30" s="297"/>
      <c r="Z30" s="297"/>
      <c r="AA30" s="297"/>
      <c r="AB30" s="297"/>
      <c r="AC30" s="297"/>
      <c r="AD30" s="297"/>
      <c r="AE30" s="297"/>
      <c r="AK30" s="296">
        <f>ROUND(AW54,2)</f>
        <v>0</v>
      </c>
      <c r="AL30" s="297"/>
      <c r="AM30" s="297"/>
      <c r="AN30" s="297"/>
      <c r="AO30" s="297"/>
      <c r="AR30" s="37"/>
      <c r="BE30" s="286"/>
    </row>
    <row r="31" spans="2:57" s="2" customFormat="1" ht="14.45" customHeight="1" hidden="1">
      <c r="B31" s="37"/>
      <c r="F31" s="28" t="s">
        <v>50</v>
      </c>
      <c r="L31" s="298">
        <v>0.21</v>
      </c>
      <c r="M31" s="297"/>
      <c r="N31" s="297"/>
      <c r="O31" s="297"/>
      <c r="P31" s="297"/>
      <c r="W31" s="296">
        <f>ROUND(BB54,2)</f>
        <v>0</v>
      </c>
      <c r="X31" s="297"/>
      <c r="Y31" s="297"/>
      <c r="Z31" s="297"/>
      <c r="AA31" s="297"/>
      <c r="AB31" s="297"/>
      <c r="AC31" s="297"/>
      <c r="AD31" s="297"/>
      <c r="AE31" s="297"/>
      <c r="AK31" s="296">
        <v>0</v>
      </c>
      <c r="AL31" s="297"/>
      <c r="AM31" s="297"/>
      <c r="AN31" s="297"/>
      <c r="AO31" s="297"/>
      <c r="AR31" s="37"/>
      <c r="BE31" s="286"/>
    </row>
    <row r="32" spans="2:57" s="2" customFormat="1" ht="14.45" customHeight="1" hidden="1">
      <c r="B32" s="37"/>
      <c r="F32" s="28" t="s">
        <v>51</v>
      </c>
      <c r="L32" s="298">
        <v>0.15</v>
      </c>
      <c r="M32" s="297"/>
      <c r="N32" s="297"/>
      <c r="O32" s="297"/>
      <c r="P32" s="297"/>
      <c r="W32" s="296">
        <f>ROUND(BC54,2)</f>
        <v>0</v>
      </c>
      <c r="X32" s="297"/>
      <c r="Y32" s="297"/>
      <c r="Z32" s="297"/>
      <c r="AA32" s="297"/>
      <c r="AB32" s="297"/>
      <c r="AC32" s="297"/>
      <c r="AD32" s="297"/>
      <c r="AE32" s="297"/>
      <c r="AK32" s="296">
        <v>0</v>
      </c>
      <c r="AL32" s="297"/>
      <c r="AM32" s="297"/>
      <c r="AN32" s="297"/>
      <c r="AO32" s="297"/>
      <c r="AR32" s="37"/>
      <c r="BE32" s="286"/>
    </row>
    <row r="33" spans="2:44" s="2" customFormat="1" ht="14.45" customHeight="1" hidden="1">
      <c r="B33" s="37"/>
      <c r="F33" s="28" t="s">
        <v>52</v>
      </c>
      <c r="L33" s="298">
        <v>0</v>
      </c>
      <c r="M33" s="297"/>
      <c r="N33" s="297"/>
      <c r="O33" s="297"/>
      <c r="P33" s="297"/>
      <c r="W33" s="296">
        <f>ROUND(BD54,2)</f>
        <v>0</v>
      </c>
      <c r="X33" s="297"/>
      <c r="Y33" s="297"/>
      <c r="Z33" s="297"/>
      <c r="AA33" s="297"/>
      <c r="AB33" s="297"/>
      <c r="AC33" s="297"/>
      <c r="AD33" s="297"/>
      <c r="AE33" s="297"/>
      <c r="AK33" s="296">
        <v>0</v>
      </c>
      <c r="AL33" s="297"/>
      <c r="AM33" s="297"/>
      <c r="AN33" s="297"/>
      <c r="AO33" s="297"/>
      <c r="AR33" s="37"/>
    </row>
    <row r="34" spans="2:44" s="1" customFormat="1" ht="6.95" customHeight="1">
      <c r="B34" s="33"/>
      <c r="AR34" s="33"/>
    </row>
    <row r="35" spans="2:44" s="1" customFormat="1" ht="25.9" customHeight="1">
      <c r="B35" s="33"/>
      <c r="C35" s="38"/>
      <c r="D35" s="39" t="s">
        <v>53</v>
      </c>
      <c r="E35" s="40"/>
      <c r="F35" s="40"/>
      <c r="G35" s="40"/>
      <c r="H35" s="40"/>
      <c r="I35" s="40"/>
      <c r="J35" s="40"/>
      <c r="K35" s="40"/>
      <c r="L35" s="40"/>
      <c r="M35" s="40"/>
      <c r="N35" s="40"/>
      <c r="O35" s="40"/>
      <c r="P35" s="40"/>
      <c r="Q35" s="40"/>
      <c r="R35" s="40"/>
      <c r="S35" s="40"/>
      <c r="T35" s="41" t="s">
        <v>54</v>
      </c>
      <c r="U35" s="40"/>
      <c r="V35" s="40"/>
      <c r="W35" s="40"/>
      <c r="X35" s="302" t="s">
        <v>55</v>
      </c>
      <c r="Y35" s="300"/>
      <c r="Z35" s="300"/>
      <c r="AA35" s="300"/>
      <c r="AB35" s="300"/>
      <c r="AC35" s="40"/>
      <c r="AD35" s="40"/>
      <c r="AE35" s="40"/>
      <c r="AF35" s="40"/>
      <c r="AG35" s="40"/>
      <c r="AH35" s="40"/>
      <c r="AI35" s="40"/>
      <c r="AJ35" s="40"/>
      <c r="AK35" s="299">
        <f>SUM(AK26:AK33)</f>
        <v>0</v>
      </c>
      <c r="AL35" s="300"/>
      <c r="AM35" s="300"/>
      <c r="AN35" s="300"/>
      <c r="AO35" s="301"/>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56</v>
      </c>
      <c r="AR42" s="33"/>
    </row>
    <row r="43" spans="2:44" s="1" customFormat="1" ht="6.95" customHeight="1">
      <c r="B43" s="33"/>
      <c r="AR43" s="33"/>
    </row>
    <row r="44" spans="2:44" s="3" customFormat="1" ht="12" customHeight="1">
      <c r="B44" s="46"/>
      <c r="C44" s="28" t="s">
        <v>14</v>
      </c>
      <c r="L44" s="3" t="str">
        <f>K5</f>
        <v>2020-70-ver3-rev2</v>
      </c>
      <c r="AR44" s="46"/>
    </row>
    <row r="45" spans="2:44" s="4" customFormat="1" ht="36.95" customHeight="1">
      <c r="B45" s="47"/>
      <c r="C45" s="48" t="s">
        <v>17</v>
      </c>
      <c r="L45" s="281" t="str">
        <f>K6</f>
        <v>ZŠ P. HOLÉHO - PŘESTAVBA PLAVECKÉHO PAVILONU</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R45" s="47"/>
    </row>
    <row r="46" spans="2:44" s="1" customFormat="1" ht="6.95" customHeight="1">
      <c r="B46" s="33"/>
      <c r="AR46" s="33"/>
    </row>
    <row r="47" spans="2:44" s="1" customFormat="1" ht="12" customHeight="1">
      <c r="B47" s="33"/>
      <c r="C47" s="28" t="s">
        <v>21</v>
      </c>
      <c r="L47" s="49" t="str">
        <f>IF(K8="","",K8)</f>
        <v>Prokopa Holého 2632, Louny, 440 01</v>
      </c>
      <c r="AI47" s="28" t="s">
        <v>23</v>
      </c>
      <c r="AM47" s="307" t="str">
        <f>IF(AN8="","",AN8)</f>
        <v>21. 9. 2022</v>
      </c>
      <c r="AN47" s="307"/>
      <c r="AR47" s="33"/>
    </row>
    <row r="48" spans="2:44" s="1" customFormat="1" ht="6.95" customHeight="1">
      <c r="B48" s="33"/>
      <c r="AR48" s="33"/>
    </row>
    <row r="49" spans="2:56" s="1" customFormat="1" ht="15.2" customHeight="1">
      <c r="B49" s="33"/>
      <c r="C49" s="28" t="s">
        <v>25</v>
      </c>
      <c r="L49" s="3" t="str">
        <f>IF(E11="","",E11)</f>
        <v>Město Louny</v>
      </c>
      <c r="AI49" s="28" t="s">
        <v>32</v>
      </c>
      <c r="AM49" s="308" t="str">
        <f>IF(E17="","",E17)</f>
        <v>RYSIK Design s.r.o.</v>
      </c>
      <c r="AN49" s="309"/>
      <c r="AO49" s="309"/>
      <c r="AP49" s="309"/>
      <c r="AR49" s="33"/>
      <c r="AS49" s="310" t="s">
        <v>57</v>
      </c>
      <c r="AT49" s="311"/>
      <c r="AU49" s="51"/>
      <c r="AV49" s="51"/>
      <c r="AW49" s="51"/>
      <c r="AX49" s="51"/>
      <c r="AY49" s="51"/>
      <c r="AZ49" s="51"/>
      <c r="BA49" s="51"/>
      <c r="BB49" s="51"/>
      <c r="BC49" s="51"/>
      <c r="BD49" s="52"/>
    </row>
    <row r="50" spans="2:56" s="1" customFormat="1" ht="15.2" customHeight="1">
      <c r="B50" s="33"/>
      <c r="C50" s="28" t="s">
        <v>30</v>
      </c>
      <c r="L50" s="3" t="str">
        <f>IF(E14="Vyplň údaj","",E14)</f>
        <v/>
      </c>
      <c r="AI50" s="28" t="s">
        <v>37</v>
      </c>
      <c r="AM50" s="308" t="str">
        <f>IF(E20="","",E20)</f>
        <v>Ing. Kateřina Tumpachová</v>
      </c>
      <c r="AN50" s="309"/>
      <c r="AO50" s="309"/>
      <c r="AP50" s="309"/>
      <c r="AR50" s="33"/>
      <c r="AS50" s="312"/>
      <c r="AT50" s="313"/>
      <c r="BD50" s="54"/>
    </row>
    <row r="51" spans="2:56" s="1" customFormat="1" ht="10.9" customHeight="1">
      <c r="B51" s="33"/>
      <c r="AR51" s="33"/>
      <c r="AS51" s="312"/>
      <c r="AT51" s="313"/>
      <c r="BD51" s="54"/>
    </row>
    <row r="52" spans="2:56" s="1" customFormat="1" ht="29.25" customHeight="1">
      <c r="B52" s="33"/>
      <c r="C52" s="277" t="s">
        <v>58</v>
      </c>
      <c r="D52" s="278"/>
      <c r="E52" s="278"/>
      <c r="F52" s="278"/>
      <c r="G52" s="278"/>
      <c r="H52" s="55"/>
      <c r="I52" s="280" t="s">
        <v>59</v>
      </c>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306" t="s">
        <v>60</v>
      </c>
      <c r="AH52" s="278"/>
      <c r="AI52" s="278"/>
      <c r="AJ52" s="278"/>
      <c r="AK52" s="278"/>
      <c r="AL52" s="278"/>
      <c r="AM52" s="278"/>
      <c r="AN52" s="280" t="s">
        <v>61</v>
      </c>
      <c r="AO52" s="278"/>
      <c r="AP52" s="278"/>
      <c r="AQ52" s="56" t="s">
        <v>62</v>
      </c>
      <c r="AR52" s="33"/>
      <c r="AS52" s="57" t="s">
        <v>63</v>
      </c>
      <c r="AT52" s="58" t="s">
        <v>64</v>
      </c>
      <c r="AU52" s="58" t="s">
        <v>65</v>
      </c>
      <c r="AV52" s="58" t="s">
        <v>66</v>
      </c>
      <c r="AW52" s="58" t="s">
        <v>67</v>
      </c>
      <c r="AX52" s="58" t="s">
        <v>68</v>
      </c>
      <c r="AY52" s="58" t="s">
        <v>69</v>
      </c>
      <c r="AZ52" s="58" t="s">
        <v>70</v>
      </c>
      <c r="BA52" s="58" t="s">
        <v>71</v>
      </c>
      <c r="BB52" s="58" t="s">
        <v>72</v>
      </c>
      <c r="BC52" s="58" t="s">
        <v>73</v>
      </c>
      <c r="BD52" s="59" t="s">
        <v>74</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75</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83">
        <f>ROUND(SUM(AG55:AG74),2)</f>
        <v>0</v>
      </c>
      <c r="AH54" s="283"/>
      <c r="AI54" s="283"/>
      <c r="AJ54" s="283"/>
      <c r="AK54" s="283"/>
      <c r="AL54" s="283"/>
      <c r="AM54" s="283"/>
      <c r="AN54" s="314">
        <f aca="true" t="shared" si="0" ref="AN54:AN74">SUM(AG54,AT54)</f>
        <v>0</v>
      </c>
      <c r="AO54" s="314"/>
      <c r="AP54" s="314"/>
      <c r="AQ54" s="65" t="s">
        <v>3</v>
      </c>
      <c r="AR54" s="61"/>
      <c r="AS54" s="66">
        <f>ROUND(SUM(AS55:AS74),2)</f>
        <v>0</v>
      </c>
      <c r="AT54" s="67">
        <f aca="true" t="shared" si="1" ref="AT54:AT74">ROUND(SUM(AV54:AW54),2)</f>
        <v>0</v>
      </c>
      <c r="AU54" s="68">
        <f>ROUND(SUM(AU55:AU74),5)</f>
        <v>0</v>
      </c>
      <c r="AV54" s="67">
        <f>ROUND(AZ54*L29,2)</f>
        <v>0</v>
      </c>
      <c r="AW54" s="67">
        <f>ROUND(BA54*L30,2)</f>
        <v>0</v>
      </c>
      <c r="AX54" s="67">
        <f>ROUND(BB54*L29,2)</f>
        <v>0</v>
      </c>
      <c r="AY54" s="67">
        <f>ROUND(BC54*L30,2)</f>
        <v>0</v>
      </c>
      <c r="AZ54" s="67">
        <f>ROUND(SUM(AZ55:AZ74),2)</f>
        <v>0</v>
      </c>
      <c r="BA54" s="67">
        <f>ROUND(SUM(BA55:BA74),2)</f>
        <v>0</v>
      </c>
      <c r="BB54" s="67">
        <f>ROUND(SUM(BB55:BB74),2)</f>
        <v>0</v>
      </c>
      <c r="BC54" s="67">
        <f>ROUND(SUM(BC55:BC74),2)</f>
        <v>0</v>
      </c>
      <c r="BD54" s="69">
        <f>ROUND(SUM(BD55:BD74),2)</f>
        <v>0</v>
      </c>
      <c r="BS54" s="70" t="s">
        <v>76</v>
      </c>
      <c r="BT54" s="70" t="s">
        <v>77</v>
      </c>
      <c r="BU54" s="71" t="s">
        <v>78</v>
      </c>
      <c r="BV54" s="70" t="s">
        <v>79</v>
      </c>
      <c r="BW54" s="70" t="s">
        <v>5</v>
      </c>
      <c r="BX54" s="70" t="s">
        <v>80</v>
      </c>
      <c r="CL54" s="70" t="s">
        <v>3</v>
      </c>
    </row>
    <row r="55" spans="1:91" s="6" customFormat="1" ht="24.75" customHeight="1">
      <c r="A55" s="72" t="s">
        <v>81</v>
      </c>
      <c r="B55" s="73"/>
      <c r="C55" s="74"/>
      <c r="D55" s="279" t="s">
        <v>82</v>
      </c>
      <c r="E55" s="279"/>
      <c r="F55" s="279"/>
      <c r="G55" s="279"/>
      <c r="H55" s="279"/>
      <c r="I55" s="75"/>
      <c r="J55" s="279" t="s">
        <v>83</v>
      </c>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304">
        <f>'E 1 - Vyklizení objektu, ...'!J30</f>
        <v>0</v>
      </c>
      <c r="AH55" s="305"/>
      <c r="AI55" s="305"/>
      <c r="AJ55" s="305"/>
      <c r="AK55" s="305"/>
      <c r="AL55" s="305"/>
      <c r="AM55" s="305"/>
      <c r="AN55" s="304">
        <f t="shared" si="0"/>
        <v>0</v>
      </c>
      <c r="AO55" s="305"/>
      <c r="AP55" s="305"/>
      <c r="AQ55" s="76" t="s">
        <v>84</v>
      </c>
      <c r="AR55" s="73"/>
      <c r="AS55" s="77">
        <v>0</v>
      </c>
      <c r="AT55" s="78">
        <f t="shared" si="1"/>
        <v>0</v>
      </c>
      <c r="AU55" s="79">
        <f>'E 1 - Vyklizení objektu, ...'!P88</f>
        <v>0</v>
      </c>
      <c r="AV55" s="78">
        <f>'E 1 - Vyklizení objektu, ...'!J33</f>
        <v>0</v>
      </c>
      <c r="AW55" s="78">
        <f>'E 1 - Vyklizení objektu, ...'!J34</f>
        <v>0</v>
      </c>
      <c r="AX55" s="78">
        <f>'E 1 - Vyklizení objektu, ...'!J35</f>
        <v>0</v>
      </c>
      <c r="AY55" s="78">
        <f>'E 1 - Vyklizení objektu, ...'!J36</f>
        <v>0</v>
      </c>
      <c r="AZ55" s="78">
        <f>'E 1 - Vyklizení objektu, ...'!F33</f>
        <v>0</v>
      </c>
      <c r="BA55" s="78">
        <f>'E 1 - Vyklizení objektu, ...'!F34</f>
        <v>0</v>
      </c>
      <c r="BB55" s="78">
        <f>'E 1 - Vyklizení objektu, ...'!F35</f>
        <v>0</v>
      </c>
      <c r="BC55" s="78">
        <f>'E 1 - Vyklizení objektu, ...'!F36</f>
        <v>0</v>
      </c>
      <c r="BD55" s="80">
        <f>'E 1 - Vyklizení objektu, ...'!F37</f>
        <v>0</v>
      </c>
      <c r="BT55" s="81" t="s">
        <v>85</v>
      </c>
      <c r="BV55" s="81" t="s">
        <v>79</v>
      </c>
      <c r="BW55" s="81" t="s">
        <v>86</v>
      </c>
      <c r="BX55" s="81" t="s">
        <v>5</v>
      </c>
      <c r="CL55" s="81" t="s">
        <v>3</v>
      </c>
      <c r="CM55" s="81" t="s">
        <v>87</v>
      </c>
    </row>
    <row r="56" spans="1:91" s="6" customFormat="1" ht="24.75" customHeight="1">
      <c r="A56" s="72" t="s">
        <v>81</v>
      </c>
      <c r="B56" s="73"/>
      <c r="C56" s="74"/>
      <c r="D56" s="279" t="s">
        <v>88</v>
      </c>
      <c r="E56" s="279"/>
      <c r="F56" s="279"/>
      <c r="G56" s="279"/>
      <c r="H56" s="279"/>
      <c r="I56" s="75"/>
      <c r="J56" s="279" t="s">
        <v>89</v>
      </c>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304">
        <f>'E 2 - Sanace betonové kon...'!J30</f>
        <v>0</v>
      </c>
      <c r="AH56" s="305"/>
      <c r="AI56" s="305"/>
      <c r="AJ56" s="305"/>
      <c r="AK56" s="305"/>
      <c r="AL56" s="305"/>
      <c r="AM56" s="305"/>
      <c r="AN56" s="304">
        <f t="shared" si="0"/>
        <v>0</v>
      </c>
      <c r="AO56" s="305"/>
      <c r="AP56" s="305"/>
      <c r="AQ56" s="76" t="s">
        <v>84</v>
      </c>
      <c r="AR56" s="73"/>
      <c r="AS56" s="77">
        <v>0</v>
      </c>
      <c r="AT56" s="78">
        <f t="shared" si="1"/>
        <v>0</v>
      </c>
      <c r="AU56" s="79">
        <f>'E 2 - Sanace betonové kon...'!P86</f>
        <v>0</v>
      </c>
      <c r="AV56" s="78">
        <f>'E 2 - Sanace betonové kon...'!J33</f>
        <v>0</v>
      </c>
      <c r="AW56" s="78">
        <f>'E 2 - Sanace betonové kon...'!J34</f>
        <v>0</v>
      </c>
      <c r="AX56" s="78">
        <f>'E 2 - Sanace betonové kon...'!J35</f>
        <v>0</v>
      </c>
      <c r="AY56" s="78">
        <f>'E 2 - Sanace betonové kon...'!J36</f>
        <v>0</v>
      </c>
      <c r="AZ56" s="78">
        <f>'E 2 - Sanace betonové kon...'!F33</f>
        <v>0</v>
      </c>
      <c r="BA56" s="78">
        <f>'E 2 - Sanace betonové kon...'!F34</f>
        <v>0</v>
      </c>
      <c r="BB56" s="78">
        <f>'E 2 - Sanace betonové kon...'!F35</f>
        <v>0</v>
      </c>
      <c r="BC56" s="78">
        <f>'E 2 - Sanace betonové kon...'!F36</f>
        <v>0</v>
      </c>
      <c r="BD56" s="80">
        <f>'E 2 - Sanace betonové kon...'!F37</f>
        <v>0</v>
      </c>
      <c r="BT56" s="81" t="s">
        <v>85</v>
      </c>
      <c r="BV56" s="81" t="s">
        <v>79</v>
      </c>
      <c r="BW56" s="81" t="s">
        <v>90</v>
      </c>
      <c r="BX56" s="81" t="s">
        <v>5</v>
      </c>
      <c r="CL56" s="81" t="s">
        <v>3</v>
      </c>
      <c r="CM56" s="81" t="s">
        <v>87</v>
      </c>
    </row>
    <row r="57" spans="1:91" s="6" customFormat="1" ht="16.5" customHeight="1">
      <c r="A57" s="72" t="s">
        <v>81</v>
      </c>
      <c r="B57" s="73"/>
      <c r="C57" s="74"/>
      <c r="D57" s="279" t="s">
        <v>91</v>
      </c>
      <c r="E57" s="279"/>
      <c r="F57" s="279"/>
      <c r="G57" s="279"/>
      <c r="H57" s="279"/>
      <c r="I57" s="75"/>
      <c r="J57" s="279" t="s">
        <v>92</v>
      </c>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304">
        <f>'E 3 - Vyzdění severního p...'!J30</f>
        <v>0</v>
      </c>
      <c r="AH57" s="305"/>
      <c r="AI57" s="305"/>
      <c r="AJ57" s="305"/>
      <c r="AK57" s="305"/>
      <c r="AL57" s="305"/>
      <c r="AM57" s="305"/>
      <c r="AN57" s="304">
        <f t="shared" si="0"/>
        <v>0</v>
      </c>
      <c r="AO57" s="305"/>
      <c r="AP57" s="305"/>
      <c r="AQ57" s="76" t="s">
        <v>84</v>
      </c>
      <c r="AR57" s="73"/>
      <c r="AS57" s="77">
        <v>0</v>
      </c>
      <c r="AT57" s="78">
        <f t="shared" si="1"/>
        <v>0</v>
      </c>
      <c r="AU57" s="79">
        <f>'E 3 - Vyzdění severního p...'!P89</f>
        <v>0</v>
      </c>
      <c r="AV57" s="78">
        <f>'E 3 - Vyzdění severního p...'!J33</f>
        <v>0</v>
      </c>
      <c r="AW57" s="78">
        <f>'E 3 - Vyzdění severního p...'!J34</f>
        <v>0</v>
      </c>
      <c r="AX57" s="78">
        <f>'E 3 - Vyzdění severního p...'!J35</f>
        <v>0</v>
      </c>
      <c r="AY57" s="78">
        <f>'E 3 - Vyzdění severního p...'!J36</f>
        <v>0</v>
      </c>
      <c r="AZ57" s="78">
        <f>'E 3 - Vyzdění severního p...'!F33</f>
        <v>0</v>
      </c>
      <c r="BA57" s="78">
        <f>'E 3 - Vyzdění severního p...'!F34</f>
        <v>0</v>
      </c>
      <c r="BB57" s="78">
        <f>'E 3 - Vyzdění severního p...'!F35</f>
        <v>0</v>
      </c>
      <c r="BC57" s="78">
        <f>'E 3 - Vyzdění severního p...'!F36</f>
        <v>0</v>
      </c>
      <c r="BD57" s="80">
        <f>'E 3 - Vyzdění severního p...'!F37</f>
        <v>0</v>
      </c>
      <c r="BT57" s="81" t="s">
        <v>85</v>
      </c>
      <c r="BV57" s="81" t="s">
        <v>79</v>
      </c>
      <c r="BW57" s="81" t="s">
        <v>93</v>
      </c>
      <c r="BX57" s="81" t="s">
        <v>5</v>
      </c>
      <c r="CL57" s="81" t="s">
        <v>3</v>
      </c>
      <c r="CM57" s="81" t="s">
        <v>87</v>
      </c>
    </row>
    <row r="58" spans="1:91" s="6" customFormat="1" ht="24.75" customHeight="1">
      <c r="A58" s="72" t="s">
        <v>81</v>
      </c>
      <c r="B58" s="73"/>
      <c r="C58" s="74"/>
      <c r="D58" s="279" t="s">
        <v>94</v>
      </c>
      <c r="E58" s="279"/>
      <c r="F58" s="279"/>
      <c r="G58" s="279"/>
      <c r="H58" s="279"/>
      <c r="I58" s="75"/>
      <c r="J58" s="279" t="s">
        <v>95</v>
      </c>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304">
        <f>'E 4 - Oddělení bourané a ...'!J30</f>
        <v>0</v>
      </c>
      <c r="AH58" s="305"/>
      <c r="AI58" s="305"/>
      <c r="AJ58" s="305"/>
      <c r="AK58" s="305"/>
      <c r="AL58" s="305"/>
      <c r="AM58" s="305"/>
      <c r="AN58" s="304">
        <f t="shared" si="0"/>
        <v>0</v>
      </c>
      <c r="AO58" s="305"/>
      <c r="AP58" s="305"/>
      <c r="AQ58" s="76" t="s">
        <v>84</v>
      </c>
      <c r="AR58" s="73"/>
      <c r="AS58" s="77">
        <v>0</v>
      </c>
      <c r="AT58" s="78">
        <f t="shared" si="1"/>
        <v>0</v>
      </c>
      <c r="AU58" s="79">
        <f>'E 4 - Oddělení bourané a ...'!P87</f>
        <v>0</v>
      </c>
      <c r="AV58" s="78">
        <f>'E 4 - Oddělení bourané a ...'!J33</f>
        <v>0</v>
      </c>
      <c r="AW58" s="78">
        <f>'E 4 - Oddělení bourané a ...'!J34</f>
        <v>0</v>
      </c>
      <c r="AX58" s="78">
        <f>'E 4 - Oddělení bourané a ...'!J35</f>
        <v>0</v>
      </c>
      <c r="AY58" s="78">
        <f>'E 4 - Oddělení bourané a ...'!J36</f>
        <v>0</v>
      </c>
      <c r="AZ58" s="78">
        <f>'E 4 - Oddělení bourané a ...'!F33</f>
        <v>0</v>
      </c>
      <c r="BA58" s="78">
        <f>'E 4 - Oddělení bourané a ...'!F34</f>
        <v>0</v>
      </c>
      <c r="BB58" s="78">
        <f>'E 4 - Oddělení bourané a ...'!F35</f>
        <v>0</v>
      </c>
      <c r="BC58" s="78">
        <f>'E 4 - Oddělení bourané a ...'!F36</f>
        <v>0</v>
      </c>
      <c r="BD58" s="80">
        <f>'E 4 - Oddělení bourané a ...'!F37</f>
        <v>0</v>
      </c>
      <c r="BT58" s="81" t="s">
        <v>85</v>
      </c>
      <c r="BV58" s="81" t="s">
        <v>79</v>
      </c>
      <c r="BW58" s="81" t="s">
        <v>96</v>
      </c>
      <c r="BX58" s="81" t="s">
        <v>5</v>
      </c>
      <c r="CL58" s="81" t="s">
        <v>3</v>
      </c>
      <c r="CM58" s="81" t="s">
        <v>87</v>
      </c>
    </row>
    <row r="59" spans="1:91" s="6" customFormat="1" ht="24.75" customHeight="1">
      <c r="A59" s="72" t="s">
        <v>81</v>
      </c>
      <c r="B59" s="73"/>
      <c r="C59" s="74"/>
      <c r="D59" s="279" t="s">
        <v>97</v>
      </c>
      <c r="E59" s="279"/>
      <c r="F59" s="279"/>
      <c r="G59" s="279"/>
      <c r="H59" s="279"/>
      <c r="I59" s="75"/>
      <c r="J59" s="279" t="s">
        <v>98</v>
      </c>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304">
        <f>'E 5 - Dozdívky a vybourán...'!J30</f>
        <v>0</v>
      </c>
      <c r="AH59" s="305"/>
      <c r="AI59" s="305"/>
      <c r="AJ59" s="305"/>
      <c r="AK59" s="305"/>
      <c r="AL59" s="305"/>
      <c r="AM59" s="305"/>
      <c r="AN59" s="304">
        <f t="shared" si="0"/>
        <v>0</v>
      </c>
      <c r="AO59" s="305"/>
      <c r="AP59" s="305"/>
      <c r="AQ59" s="76" t="s">
        <v>84</v>
      </c>
      <c r="AR59" s="73"/>
      <c r="AS59" s="77">
        <v>0</v>
      </c>
      <c r="AT59" s="78">
        <f t="shared" si="1"/>
        <v>0</v>
      </c>
      <c r="AU59" s="79">
        <f>'E 5 - Dozdívky a vybourán...'!P92</f>
        <v>0</v>
      </c>
      <c r="AV59" s="78">
        <f>'E 5 - Dozdívky a vybourán...'!J33</f>
        <v>0</v>
      </c>
      <c r="AW59" s="78">
        <f>'E 5 - Dozdívky a vybourán...'!J34</f>
        <v>0</v>
      </c>
      <c r="AX59" s="78">
        <f>'E 5 - Dozdívky a vybourán...'!J35</f>
        <v>0</v>
      </c>
      <c r="AY59" s="78">
        <f>'E 5 - Dozdívky a vybourán...'!J36</f>
        <v>0</v>
      </c>
      <c r="AZ59" s="78">
        <f>'E 5 - Dozdívky a vybourán...'!F33</f>
        <v>0</v>
      </c>
      <c r="BA59" s="78">
        <f>'E 5 - Dozdívky a vybourán...'!F34</f>
        <v>0</v>
      </c>
      <c r="BB59" s="78">
        <f>'E 5 - Dozdívky a vybourán...'!F35</f>
        <v>0</v>
      </c>
      <c r="BC59" s="78">
        <f>'E 5 - Dozdívky a vybourán...'!F36</f>
        <v>0</v>
      </c>
      <c r="BD59" s="80">
        <f>'E 5 - Dozdívky a vybourán...'!F37</f>
        <v>0</v>
      </c>
      <c r="BT59" s="81" t="s">
        <v>85</v>
      </c>
      <c r="BV59" s="81" t="s">
        <v>79</v>
      </c>
      <c r="BW59" s="81" t="s">
        <v>99</v>
      </c>
      <c r="BX59" s="81" t="s">
        <v>5</v>
      </c>
      <c r="CL59" s="81" t="s">
        <v>3</v>
      </c>
      <c r="CM59" s="81" t="s">
        <v>87</v>
      </c>
    </row>
    <row r="60" spans="1:91" s="6" customFormat="1" ht="16.5" customHeight="1">
      <c r="A60" s="72" t="s">
        <v>81</v>
      </c>
      <c r="B60" s="73"/>
      <c r="C60" s="74"/>
      <c r="D60" s="279" t="s">
        <v>100</v>
      </c>
      <c r="E60" s="279"/>
      <c r="F60" s="279"/>
      <c r="G60" s="279"/>
      <c r="H60" s="279"/>
      <c r="I60" s="75"/>
      <c r="J60" s="279" t="s">
        <v>101</v>
      </c>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304">
        <f>'E 6 - Provedení střechy p...'!J30</f>
        <v>0</v>
      </c>
      <c r="AH60" s="305"/>
      <c r="AI60" s="305"/>
      <c r="AJ60" s="305"/>
      <c r="AK60" s="305"/>
      <c r="AL60" s="305"/>
      <c r="AM60" s="305"/>
      <c r="AN60" s="304">
        <f t="shared" si="0"/>
        <v>0</v>
      </c>
      <c r="AO60" s="305"/>
      <c r="AP60" s="305"/>
      <c r="AQ60" s="76" t="s">
        <v>84</v>
      </c>
      <c r="AR60" s="73"/>
      <c r="AS60" s="77">
        <v>0</v>
      </c>
      <c r="AT60" s="78">
        <f t="shared" si="1"/>
        <v>0</v>
      </c>
      <c r="AU60" s="79">
        <f>'E 6 - Provedení střechy p...'!P91</f>
        <v>0</v>
      </c>
      <c r="AV60" s="78">
        <f>'E 6 - Provedení střechy p...'!J33</f>
        <v>0</v>
      </c>
      <c r="AW60" s="78">
        <f>'E 6 - Provedení střechy p...'!J34</f>
        <v>0</v>
      </c>
      <c r="AX60" s="78">
        <f>'E 6 - Provedení střechy p...'!J35</f>
        <v>0</v>
      </c>
      <c r="AY60" s="78">
        <f>'E 6 - Provedení střechy p...'!J36</f>
        <v>0</v>
      </c>
      <c r="AZ60" s="78">
        <f>'E 6 - Provedení střechy p...'!F33</f>
        <v>0</v>
      </c>
      <c r="BA60" s="78">
        <f>'E 6 - Provedení střechy p...'!F34</f>
        <v>0</v>
      </c>
      <c r="BB60" s="78">
        <f>'E 6 - Provedení střechy p...'!F35</f>
        <v>0</v>
      </c>
      <c r="BC60" s="78">
        <f>'E 6 - Provedení střechy p...'!F36</f>
        <v>0</v>
      </c>
      <c r="BD60" s="80">
        <f>'E 6 - Provedení střechy p...'!F37</f>
        <v>0</v>
      </c>
      <c r="BT60" s="81" t="s">
        <v>85</v>
      </c>
      <c r="BV60" s="81" t="s">
        <v>79</v>
      </c>
      <c r="BW60" s="81" t="s">
        <v>102</v>
      </c>
      <c r="BX60" s="81" t="s">
        <v>5</v>
      </c>
      <c r="CL60" s="81" t="s">
        <v>3</v>
      </c>
      <c r="CM60" s="81" t="s">
        <v>87</v>
      </c>
    </row>
    <row r="61" spans="1:91" s="6" customFormat="1" ht="16.5" customHeight="1">
      <c r="A61" s="72" t="s">
        <v>81</v>
      </c>
      <c r="B61" s="73"/>
      <c r="C61" s="74"/>
      <c r="D61" s="279" t="s">
        <v>103</v>
      </c>
      <c r="E61" s="279"/>
      <c r="F61" s="279"/>
      <c r="G61" s="279"/>
      <c r="H61" s="279"/>
      <c r="I61" s="75"/>
      <c r="J61" s="279" t="s">
        <v>104</v>
      </c>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304">
        <f>'E 7 - Vybourání stávající...'!J30</f>
        <v>0</v>
      </c>
      <c r="AH61" s="305"/>
      <c r="AI61" s="305"/>
      <c r="AJ61" s="305"/>
      <c r="AK61" s="305"/>
      <c r="AL61" s="305"/>
      <c r="AM61" s="305"/>
      <c r="AN61" s="304">
        <f t="shared" si="0"/>
        <v>0</v>
      </c>
      <c r="AO61" s="305"/>
      <c r="AP61" s="305"/>
      <c r="AQ61" s="76" t="s">
        <v>84</v>
      </c>
      <c r="AR61" s="73"/>
      <c r="AS61" s="77">
        <v>0</v>
      </c>
      <c r="AT61" s="78">
        <f t="shared" si="1"/>
        <v>0</v>
      </c>
      <c r="AU61" s="79">
        <f>'E 7 - Vybourání stávající...'!P86</f>
        <v>0</v>
      </c>
      <c r="AV61" s="78">
        <f>'E 7 - Vybourání stávající...'!J33</f>
        <v>0</v>
      </c>
      <c r="AW61" s="78">
        <f>'E 7 - Vybourání stávající...'!J34</f>
        <v>0</v>
      </c>
      <c r="AX61" s="78">
        <f>'E 7 - Vybourání stávající...'!J35</f>
        <v>0</v>
      </c>
      <c r="AY61" s="78">
        <f>'E 7 - Vybourání stávající...'!J36</f>
        <v>0</v>
      </c>
      <c r="AZ61" s="78">
        <f>'E 7 - Vybourání stávající...'!F33</f>
        <v>0</v>
      </c>
      <c r="BA61" s="78">
        <f>'E 7 - Vybourání stávající...'!F34</f>
        <v>0</v>
      </c>
      <c r="BB61" s="78">
        <f>'E 7 - Vybourání stávající...'!F35</f>
        <v>0</v>
      </c>
      <c r="BC61" s="78">
        <f>'E 7 - Vybourání stávající...'!F36</f>
        <v>0</v>
      </c>
      <c r="BD61" s="80">
        <f>'E 7 - Vybourání stávající...'!F37</f>
        <v>0</v>
      </c>
      <c r="BT61" s="81" t="s">
        <v>85</v>
      </c>
      <c r="BV61" s="81" t="s">
        <v>79</v>
      </c>
      <c r="BW61" s="81" t="s">
        <v>105</v>
      </c>
      <c r="BX61" s="81" t="s">
        <v>5</v>
      </c>
      <c r="CL61" s="81" t="s">
        <v>3</v>
      </c>
      <c r="CM61" s="81" t="s">
        <v>87</v>
      </c>
    </row>
    <row r="62" spans="1:91" s="6" customFormat="1" ht="24.75" customHeight="1">
      <c r="A62" s="72" t="s">
        <v>81</v>
      </c>
      <c r="B62" s="73"/>
      <c r="C62" s="74"/>
      <c r="D62" s="279" t="s">
        <v>106</v>
      </c>
      <c r="E62" s="279"/>
      <c r="F62" s="279"/>
      <c r="G62" s="279"/>
      <c r="H62" s="279"/>
      <c r="I62" s="75"/>
      <c r="J62" s="279" t="s">
        <v>107</v>
      </c>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304">
        <f>'E 8 - Provedení otvoru pr...'!J30</f>
        <v>0</v>
      </c>
      <c r="AH62" s="305"/>
      <c r="AI62" s="305"/>
      <c r="AJ62" s="305"/>
      <c r="AK62" s="305"/>
      <c r="AL62" s="305"/>
      <c r="AM62" s="305"/>
      <c r="AN62" s="304">
        <f t="shared" si="0"/>
        <v>0</v>
      </c>
      <c r="AO62" s="305"/>
      <c r="AP62" s="305"/>
      <c r="AQ62" s="76" t="s">
        <v>84</v>
      </c>
      <c r="AR62" s="73"/>
      <c r="AS62" s="77">
        <v>0</v>
      </c>
      <c r="AT62" s="78">
        <f t="shared" si="1"/>
        <v>0</v>
      </c>
      <c r="AU62" s="79">
        <f>'E 8 - Provedení otvoru pr...'!P89</f>
        <v>0</v>
      </c>
      <c r="AV62" s="78">
        <f>'E 8 - Provedení otvoru pr...'!J33</f>
        <v>0</v>
      </c>
      <c r="AW62" s="78">
        <f>'E 8 - Provedení otvoru pr...'!J34</f>
        <v>0</v>
      </c>
      <c r="AX62" s="78">
        <f>'E 8 - Provedení otvoru pr...'!J35</f>
        <v>0</v>
      </c>
      <c r="AY62" s="78">
        <f>'E 8 - Provedení otvoru pr...'!J36</f>
        <v>0</v>
      </c>
      <c r="AZ62" s="78">
        <f>'E 8 - Provedení otvoru pr...'!F33</f>
        <v>0</v>
      </c>
      <c r="BA62" s="78">
        <f>'E 8 - Provedení otvoru pr...'!F34</f>
        <v>0</v>
      </c>
      <c r="BB62" s="78">
        <f>'E 8 - Provedení otvoru pr...'!F35</f>
        <v>0</v>
      </c>
      <c r="BC62" s="78">
        <f>'E 8 - Provedení otvoru pr...'!F36</f>
        <v>0</v>
      </c>
      <c r="BD62" s="80">
        <f>'E 8 - Provedení otvoru pr...'!F37</f>
        <v>0</v>
      </c>
      <c r="BT62" s="81" t="s">
        <v>85</v>
      </c>
      <c r="BV62" s="81" t="s">
        <v>79</v>
      </c>
      <c r="BW62" s="81" t="s">
        <v>108</v>
      </c>
      <c r="BX62" s="81" t="s">
        <v>5</v>
      </c>
      <c r="CL62" s="81" t="s">
        <v>3</v>
      </c>
      <c r="CM62" s="81" t="s">
        <v>87</v>
      </c>
    </row>
    <row r="63" spans="1:91" s="6" customFormat="1" ht="16.5" customHeight="1">
      <c r="A63" s="72" t="s">
        <v>81</v>
      </c>
      <c r="B63" s="73"/>
      <c r="C63" s="74"/>
      <c r="D63" s="279" t="s">
        <v>109</v>
      </c>
      <c r="E63" s="279"/>
      <c r="F63" s="279"/>
      <c r="G63" s="279"/>
      <c r="H63" s="279"/>
      <c r="I63" s="75"/>
      <c r="J63" s="279" t="s">
        <v>110</v>
      </c>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304">
        <f>'E 9 - Hrubá stavba nové d...'!J30</f>
        <v>0</v>
      </c>
      <c r="AH63" s="305"/>
      <c r="AI63" s="305"/>
      <c r="AJ63" s="305"/>
      <c r="AK63" s="305"/>
      <c r="AL63" s="305"/>
      <c r="AM63" s="305"/>
      <c r="AN63" s="304">
        <f t="shared" si="0"/>
        <v>0</v>
      </c>
      <c r="AO63" s="305"/>
      <c r="AP63" s="305"/>
      <c r="AQ63" s="76" t="s">
        <v>84</v>
      </c>
      <c r="AR63" s="73"/>
      <c r="AS63" s="77">
        <v>0</v>
      </c>
      <c r="AT63" s="78">
        <f t="shared" si="1"/>
        <v>0</v>
      </c>
      <c r="AU63" s="79">
        <f>'E 9 - Hrubá stavba nové d...'!P85</f>
        <v>0</v>
      </c>
      <c r="AV63" s="78">
        <f>'E 9 - Hrubá stavba nové d...'!J33</f>
        <v>0</v>
      </c>
      <c r="AW63" s="78">
        <f>'E 9 - Hrubá stavba nové d...'!J34</f>
        <v>0</v>
      </c>
      <c r="AX63" s="78">
        <f>'E 9 - Hrubá stavba nové d...'!J35</f>
        <v>0</v>
      </c>
      <c r="AY63" s="78">
        <f>'E 9 - Hrubá stavba nové d...'!J36</f>
        <v>0</v>
      </c>
      <c r="AZ63" s="78">
        <f>'E 9 - Hrubá stavba nové d...'!F33</f>
        <v>0</v>
      </c>
      <c r="BA63" s="78">
        <f>'E 9 - Hrubá stavba nové d...'!F34</f>
        <v>0</v>
      </c>
      <c r="BB63" s="78">
        <f>'E 9 - Hrubá stavba nové d...'!F35</f>
        <v>0</v>
      </c>
      <c r="BC63" s="78">
        <f>'E 9 - Hrubá stavba nové d...'!F36</f>
        <v>0</v>
      </c>
      <c r="BD63" s="80">
        <f>'E 9 - Hrubá stavba nové d...'!F37</f>
        <v>0</v>
      </c>
      <c r="BT63" s="81" t="s">
        <v>85</v>
      </c>
      <c r="BV63" s="81" t="s">
        <v>79</v>
      </c>
      <c r="BW63" s="81" t="s">
        <v>111</v>
      </c>
      <c r="BX63" s="81" t="s">
        <v>5</v>
      </c>
      <c r="CL63" s="81" t="s">
        <v>3</v>
      </c>
      <c r="CM63" s="81" t="s">
        <v>87</v>
      </c>
    </row>
    <row r="64" spans="1:91" s="6" customFormat="1" ht="16.5" customHeight="1">
      <c r="A64" s="72" t="s">
        <v>81</v>
      </c>
      <c r="B64" s="73"/>
      <c r="C64" s="74"/>
      <c r="D64" s="279" t="s">
        <v>112</v>
      </c>
      <c r="E64" s="279"/>
      <c r="F64" s="279"/>
      <c r="G64" s="279"/>
      <c r="H64" s="279"/>
      <c r="I64" s="75"/>
      <c r="J64" s="279" t="s">
        <v>113</v>
      </c>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304">
        <f>'E10 - Vybourání dispozice...'!J30</f>
        <v>0</v>
      </c>
      <c r="AH64" s="305"/>
      <c r="AI64" s="305"/>
      <c r="AJ64" s="305"/>
      <c r="AK64" s="305"/>
      <c r="AL64" s="305"/>
      <c r="AM64" s="305"/>
      <c r="AN64" s="304">
        <f t="shared" si="0"/>
        <v>0</v>
      </c>
      <c r="AO64" s="305"/>
      <c r="AP64" s="305"/>
      <c r="AQ64" s="76" t="s">
        <v>84</v>
      </c>
      <c r="AR64" s="73"/>
      <c r="AS64" s="77">
        <v>0</v>
      </c>
      <c r="AT64" s="78">
        <f t="shared" si="1"/>
        <v>0</v>
      </c>
      <c r="AU64" s="79">
        <f>'E10 - Vybourání dispozice...'!P87</f>
        <v>0</v>
      </c>
      <c r="AV64" s="78">
        <f>'E10 - Vybourání dispozice...'!J33</f>
        <v>0</v>
      </c>
      <c r="AW64" s="78">
        <f>'E10 - Vybourání dispozice...'!J34</f>
        <v>0</v>
      </c>
      <c r="AX64" s="78">
        <f>'E10 - Vybourání dispozice...'!J35</f>
        <v>0</v>
      </c>
      <c r="AY64" s="78">
        <f>'E10 - Vybourání dispozice...'!J36</f>
        <v>0</v>
      </c>
      <c r="AZ64" s="78">
        <f>'E10 - Vybourání dispozice...'!F33</f>
        <v>0</v>
      </c>
      <c r="BA64" s="78">
        <f>'E10 - Vybourání dispozice...'!F34</f>
        <v>0</v>
      </c>
      <c r="BB64" s="78">
        <f>'E10 - Vybourání dispozice...'!F35</f>
        <v>0</v>
      </c>
      <c r="BC64" s="78">
        <f>'E10 - Vybourání dispozice...'!F36</f>
        <v>0</v>
      </c>
      <c r="BD64" s="80">
        <f>'E10 - Vybourání dispozice...'!F37</f>
        <v>0</v>
      </c>
      <c r="BT64" s="81" t="s">
        <v>85</v>
      </c>
      <c r="BV64" s="81" t="s">
        <v>79</v>
      </c>
      <c r="BW64" s="81" t="s">
        <v>114</v>
      </c>
      <c r="BX64" s="81" t="s">
        <v>5</v>
      </c>
      <c r="CL64" s="81" t="s">
        <v>3</v>
      </c>
      <c r="CM64" s="81" t="s">
        <v>87</v>
      </c>
    </row>
    <row r="65" spans="1:91" s="6" customFormat="1" ht="16.5" customHeight="1">
      <c r="A65" s="72" t="s">
        <v>81</v>
      </c>
      <c r="B65" s="73"/>
      <c r="C65" s="74"/>
      <c r="D65" s="279" t="s">
        <v>115</v>
      </c>
      <c r="E65" s="279"/>
      <c r="F65" s="279"/>
      <c r="G65" s="279"/>
      <c r="H65" s="279"/>
      <c r="I65" s="75"/>
      <c r="J65" s="279" t="s">
        <v>116</v>
      </c>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304">
        <f>'E11 - Hrubá stavba nové d...'!J30</f>
        <v>0</v>
      </c>
      <c r="AH65" s="305"/>
      <c r="AI65" s="305"/>
      <c r="AJ65" s="305"/>
      <c r="AK65" s="305"/>
      <c r="AL65" s="305"/>
      <c r="AM65" s="305"/>
      <c r="AN65" s="304">
        <f t="shared" si="0"/>
        <v>0</v>
      </c>
      <c r="AO65" s="305"/>
      <c r="AP65" s="305"/>
      <c r="AQ65" s="76" t="s">
        <v>84</v>
      </c>
      <c r="AR65" s="73"/>
      <c r="AS65" s="77">
        <v>0</v>
      </c>
      <c r="AT65" s="78">
        <f t="shared" si="1"/>
        <v>0</v>
      </c>
      <c r="AU65" s="79">
        <f>'E11 - Hrubá stavba nové d...'!P91</f>
        <v>0</v>
      </c>
      <c r="AV65" s="78">
        <f>'E11 - Hrubá stavba nové d...'!J33</f>
        <v>0</v>
      </c>
      <c r="AW65" s="78">
        <f>'E11 - Hrubá stavba nové d...'!J34</f>
        <v>0</v>
      </c>
      <c r="AX65" s="78">
        <f>'E11 - Hrubá stavba nové d...'!J35</f>
        <v>0</v>
      </c>
      <c r="AY65" s="78">
        <f>'E11 - Hrubá stavba nové d...'!J36</f>
        <v>0</v>
      </c>
      <c r="AZ65" s="78">
        <f>'E11 - Hrubá stavba nové d...'!F33</f>
        <v>0</v>
      </c>
      <c r="BA65" s="78">
        <f>'E11 - Hrubá stavba nové d...'!F34</f>
        <v>0</v>
      </c>
      <c r="BB65" s="78">
        <f>'E11 - Hrubá stavba nové d...'!F35</f>
        <v>0</v>
      </c>
      <c r="BC65" s="78">
        <f>'E11 - Hrubá stavba nové d...'!F36</f>
        <v>0</v>
      </c>
      <c r="BD65" s="80">
        <f>'E11 - Hrubá stavba nové d...'!F37</f>
        <v>0</v>
      </c>
      <c r="BT65" s="81" t="s">
        <v>85</v>
      </c>
      <c r="BV65" s="81" t="s">
        <v>79</v>
      </c>
      <c r="BW65" s="81" t="s">
        <v>117</v>
      </c>
      <c r="BX65" s="81" t="s">
        <v>5</v>
      </c>
      <c r="CL65" s="81" t="s">
        <v>3</v>
      </c>
      <c r="CM65" s="81" t="s">
        <v>87</v>
      </c>
    </row>
    <row r="66" spans="1:91" s="6" customFormat="1" ht="37.5" customHeight="1">
      <c r="A66" s="72" t="s">
        <v>81</v>
      </c>
      <c r="B66" s="73"/>
      <c r="C66" s="74"/>
      <c r="D66" s="279" t="s">
        <v>118</v>
      </c>
      <c r="E66" s="279"/>
      <c r="F66" s="279"/>
      <c r="G66" s="279"/>
      <c r="H66" s="279"/>
      <c r="I66" s="75"/>
      <c r="J66" s="279" t="s">
        <v>119</v>
      </c>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304">
        <f>'E12 - Osazení výplní pláš...'!J30</f>
        <v>0</v>
      </c>
      <c r="AH66" s="305"/>
      <c r="AI66" s="305"/>
      <c r="AJ66" s="305"/>
      <c r="AK66" s="305"/>
      <c r="AL66" s="305"/>
      <c r="AM66" s="305"/>
      <c r="AN66" s="304">
        <f t="shared" si="0"/>
        <v>0</v>
      </c>
      <c r="AO66" s="305"/>
      <c r="AP66" s="305"/>
      <c r="AQ66" s="76" t="s">
        <v>84</v>
      </c>
      <c r="AR66" s="73"/>
      <c r="AS66" s="77">
        <v>0</v>
      </c>
      <c r="AT66" s="78">
        <f t="shared" si="1"/>
        <v>0</v>
      </c>
      <c r="AU66" s="79">
        <f>'E12 - Osazení výplní pláš...'!P88</f>
        <v>0</v>
      </c>
      <c r="AV66" s="78">
        <f>'E12 - Osazení výplní pláš...'!J33</f>
        <v>0</v>
      </c>
      <c r="AW66" s="78">
        <f>'E12 - Osazení výplní pláš...'!J34</f>
        <v>0</v>
      </c>
      <c r="AX66" s="78">
        <f>'E12 - Osazení výplní pláš...'!J35</f>
        <v>0</v>
      </c>
      <c r="AY66" s="78">
        <f>'E12 - Osazení výplní pláš...'!J36</f>
        <v>0</v>
      </c>
      <c r="AZ66" s="78">
        <f>'E12 - Osazení výplní pláš...'!F33</f>
        <v>0</v>
      </c>
      <c r="BA66" s="78">
        <f>'E12 - Osazení výplní pláš...'!F34</f>
        <v>0</v>
      </c>
      <c r="BB66" s="78">
        <f>'E12 - Osazení výplní pláš...'!F35</f>
        <v>0</v>
      </c>
      <c r="BC66" s="78">
        <f>'E12 - Osazení výplní pláš...'!F36</f>
        <v>0</v>
      </c>
      <c r="BD66" s="80">
        <f>'E12 - Osazení výplní pláš...'!F37</f>
        <v>0</v>
      </c>
      <c r="BT66" s="81" t="s">
        <v>85</v>
      </c>
      <c r="BV66" s="81" t="s">
        <v>79</v>
      </c>
      <c r="BW66" s="81" t="s">
        <v>120</v>
      </c>
      <c r="BX66" s="81" t="s">
        <v>5</v>
      </c>
      <c r="CL66" s="81" t="s">
        <v>3</v>
      </c>
      <c r="CM66" s="81" t="s">
        <v>87</v>
      </c>
    </row>
    <row r="67" spans="1:91" s="6" customFormat="1" ht="37.5" customHeight="1">
      <c r="A67" s="72" t="s">
        <v>81</v>
      </c>
      <c r="B67" s="73"/>
      <c r="C67" s="74"/>
      <c r="D67" s="279" t="s">
        <v>121</v>
      </c>
      <c r="E67" s="279"/>
      <c r="F67" s="279"/>
      <c r="G67" s="279"/>
      <c r="H67" s="279"/>
      <c r="I67" s="75"/>
      <c r="J67" s="279" t="s">
        <v>122</v>
      </c>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304">
        <f>'E13 - Oprava a stavební ú...'!J30</f>
        <v>0</v>
      </c>
      <c r="AH67" s="305"/>
      <c r="AI67" s="305"/>
      <c r="AJ67" s="305"/>
      <c r="AK67" s="305"/>
      <c r="AL67" s="305"/>
      <c r="AM67" s="305"/>
      <c r="AN67" s="304">
        <f t="shared" si="0"/>
        <v>0</v>
      </c>
      <c r="AO67" s="305"/>
      <c r="AP67" s="305"/>
      <c r="AQ67" s="76" t="s">
        <v>84</v>
      </c>
      <c r="AR67" s="73"/>
      <c r="AS67" s="77">
        <v>0</v>
      </c>
      <c r="AT67" s="78">
        <f t="shared" si="1"/>
        <v>0</v>
      </c>
      <c r="AU67" s="79">
        <f>'E13 - Oprava a stavební ú...'!P99</f>
        <v>0</v>
      </c>
      <c r="AV67" s="78">
        <f>'E13 - Oprava a stavební ú...'!J33</f>
        <v>0</v>
      </c>
      <c r="AW67" s="78">
        <f>'E13 - Oprava a stavební ú...'!J34</f>
        <v>0</v>
      </c>
      <c r="AX67" s="78">
        <f>'E13 - Oprava a stavební ú...'!J35</f>
        <v>0</v>
      </c>
      <c r="AY67" s="78">
        <f>'E13 - Oprava a stavební ú...'!J36</f>
        <v>0</v>
      </c>
      <c r="AZ67" s="78">
        <f>'E13 - Oprava a stavební ú...'!F33</f>
        <v>0</v>
      </c>
      <c r="BA67" s="78">
        <f>'E13 - Oprava a stavební ú...'!F34</f>
        <v>0</v>
      </c>
      <c r="BB67" s="78">
        <f>'E13 - Oprava a stavební ú...'!F35</f>
        <v>0</v>
      </c>
      <c r="BC67" s="78">
        <f>'E13 - Oprava a stavební ú...'!F36</f>
        <v>0</v>
      </c>
      <c r="BD67" s="80">
        <f>'E13 - Oprava a stavební ú...'!F37</f>
        <v>0</v>
      </c>
      <c r="BT67" s="81" t="s">
        <v>85</v>
      </c>
      <c r="BV67" s="81" t="s">
        <v>79</v>
      </c>
      <c r="BW67" s="81" t="s">
        <v>123</v>
      </c>
      <c r="BX67" s="81" t="s">
        <v>5</v>
      </c>
      <c r="CL67" s="81" t="s">
        <v>3</v>
      </c>
      <c r="CM67" s="81" t="s">
        <v>87</v>
      </c>
    </row>
    <row r="68" spans="1:91" s="6" customFormat="1" ht="37.5" customHeight="1">
      <c r="A68" s="72" t="s">
        <v>81</v>
      </c>
      <c r="B68" s="73"/>
      <c r="C68" s="74"/>
      <c r="D68" s="279" t="s">
        <v>124</v>
      </c>
      <c r="E68" s="279"/>
      <c r="F68" s="279"/>
      <c r="G68" s="279"/>
      <c r="H68" s="279"/>
      <c r="I68" s="75"/>
      <c r="J68" s="279" t="s">
        <v>125</v>
      </c>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304">
        <f>'E14 - Dokončovací práce -...'!J30</f>
        <v>0</v>
      </c>
      <c r="AH68" s="305"/>
      <c r="AI68" s="305"/>
      <c r="AJ68" s="305"/>
      <c r="AK68" s="305"/>
      <c r="AL68" s="305"/>
      <c r="AM68" s="305"/>
      <c r="AN68" s="304">
        <f t="shared" si="0"/>
        <v>0</v>
      </c>
      <c r="AO68" s="305"/>
      <c r="AP68" s="305"/>
      <c r="AQ68" s="76" t="s">
        <v>84</v>
      </c>
      <c r="AR68" s="73"/>
      <c r="AS68" s="77">
        <v>0</v>
      </c>
      <c r="AT68" s="78">
        <f t="shared" si="1"/>
        <v>0</v>
      </c>
      <c r="AU68" s="79">
        <f>'E14 - Dokončovací práce -...'!P99</f>
        <v>0</v>
      </c>
      <c r="AV68" s="78">
        <f>'E14 - Dokončovací práce -...'!J33</f>
        <v>0</v>
      </c>
      <c r="AW68" s="78">
        <f>'E14 - Dokončovací práce -...'!J34</f>
        <v>0</v>
      </c>
      <c r="AX68" s="78">
        <f>'E14 - Dokončovací práce -...'!J35</f>
        <v>0</v>
      </c>
      <c r="AY68" s="78">
        <f>'E14 - Dokončovací práce -...'!J36</f>
        <v>0</v>
      </c>
      <c r="AZ68" s="78">
        <f>'E14 - Dokončovací práce -...'!F33</f>
        <v>0</v>
      </c>
      <c r="BA68" s="78">
        <f>'E14 - Dokončovací práce -...'!F34</f>
        <v>0</v>
      </c>
      <c r="BB68" s="78">
        <f>'E14 - Dokončovací práce -...'!F35</f>
        <v>0</v>
      </c>
      <c r="BC68" s="78">
        <f>'E14 - Dokončovací práce -...'!F36</f>
        <v>0</v>
      </c>
      <c r="BD68" s="80">
        <f>'E14 - Dokončovací práce -...'!F37</f>
        <v>0</v>
      </c>
      <c r="BT68" s="81" t="s">
        <v>85</v>
      </c>
      <c r="BV68" s="81" t="s">
        <v>79</v>
      </c>
      <c r="BW68" s="81" t="s">
        <v>126</v>
      </c>
      <c r="BX68" s="81" t="s">
        <v>5</v>
      </c>
      <c r="CL68" s="81" t="s">
        <v>3</v>
      </c>
      <c r="CM68" s="81" t="s">
        <v>87</v>
      </c>
    </row>
    <row r="69" spans="1:91" s="6" customFormat="1" ht="24.75" customHeight="1">
      <c r="A69" s="72" t="s">
        <v>81</v>
      </c>
      <c r="B69" s="73"/>
      <c r="C69" s="74"/>
      <c r="D69" s="279" t="s">
        <v>127</v>
      </c>
      <c r="E69" s="279"/>
      <c r="F69" s="279"/>
      <c r="G69" s="279"/>
      <c r="H69" s="279"/>
      <c r="I69" s="75"/>
      <c r="J69" s="279" t="s">
        <v>128</v>
      </c>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304">
        <f>'E15 - Vyrovnání terénu po...'!J30</f>
        <v>0</v>
      </c>
      <c r="AH69" s="305"/>
      <c r="AI69" s="305"/>
      <c r="AJ69" s="305"/>
      <c r="AK69" s="305"/>
      <c r="AL69" s="305"/>
      <c r="AM69" s="305"/>
      <c r="AN69" s="304">
        <f t="shared" si="0"/>
        <v>0</v>
      </c>
      <c r="AO69" s="305"/>
      <c r="AP69" s="305"/>
      <c r="AQ69" s="76" t="s">
        <v>84</v>
      </c>
      <c r="AR69" s="73"/>
      <c r="AS69" s="77">
        <v>0</v>
      </c>
      <c r="AT69" s="78">
        <f t="shared" si="1"/>
        <v>0</v>
      </c>
      <c r="AU69" s="79">
        <f>'E15 - Vyrovnání terénu po...'!P84</f>
        <v>0</v>
      </c>
      <c r="AV69" s="78">
        <f>'E15 - Vyrovnání terénu po...'!J33</f>
        <v>0</v>
      </c>
      <c r="AW69" s="78">
        <f>'E15 - Vyrovnání terénu po...'!J34</f>
        <v>0</v>
      </c>
      <c r="AX69" s="78">
        <f>'E15 - Vyrovnání terénu po...'!J35</f>
        <v>0</v>
      </c>
      <c r="AY69" s="78">
        <f>'E15 - Vyrovnání terénu po...'!J36</f>
        <v>0</v>
      </c>
      <c r="AZ69" s="78">
        <f>'E15 - Vyrovnání terénu po...'!F33</f>
        <v>0</v>
      </c>
      <c r="BA69" s="78">
        <f>'E15 - Vyrovnání terénu po...'!F34</f>
        <v>0</v>
      </c>
      <c r="BB69" s="78">
        <f>'E15 - Vyrovnání terénu po...'!F35</f>
        <v>0</v>
      </c>
      <c r="BC69" s="78">
        <f>'E15 - Vyrovnání terénu po...'!F36</f>
        <v>0</v>
      </c>
      <c r="BD69" s="80">
        <f>'E15 - Vyrovnání terénu po...'!F37</f>
        <v>0</v>
      </c>
      <c r="BT69" s="81" t="s">
        <v>85</v>
      </c>
      <c r="BV69" s="81" t="s">
        <v>79</v>
      </c>
      <c r="BW69" s="81" t="s">
        <v>129</v>
      </c>
      <c r="BX69" s="81" t="s">
        <v>5</v>
      </c>
      <c r="CL69" s="81" t="s">
        <v>3</v>
      </c>
      <c r="CM69" s="81" t="s">
        <v>87</v>
      </c>
    </row>
    <row r="70" spans="1:91" s="6" customFormat="1" ht="16.5" customHeight="1">
      <c r="A70" s="72" t="s">
        <v>81</v>
      </c>
      <c r="B70" s="73"/>
      <c r="C70" s="74"/>
      <c r="D70" s="279" t="s">
        <v>130</v>
      </c>
      <c r="E70" s="279"/>
      <c r="F70" s="279"/>
      <c r="G70" s="279"/>
      <c r="H70" s="279"/>
      <c r="I70" s="75"/>
      <c r="J70" s="279" t="s">
        <v>131</v>
      </c>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304">
        <f>'SO 2 - UT'!J30</f>
        <v>0</v>
      </c>
      <c r="AH70" s="305"/>
      <c r="AI70" s="305"/>
      <c r="AJ70" s="305"/>
      <c r="AK70" s="305"/>
      <c r="AL70" s="305"/>
      <c r="AM70" s="305"/>
      <c r="AN70" s="304">
        <f t="shared" si="0"/>
        <v>0</v>
      </c>
      <c r="AO70" s="305"/>
      <c r="AP70" s="305"/>
      <c r="AQ70" s="76" t="s">
        <v>84</v>
      </c>
      <c r="AR70" s="73"/>
      <c r="AS70" s="77">
        <v>0</v>
      </c>
      <c r="AT70" s="78">
        <f t="shared" si="1"/>
        <v>0</v>
      </c>
      <c r="AU70" s="79">
        <f>'SO 2 - UT'!P82</f>
        <v>0</v>
      </c>
      <c r="AV70" s="78">
        <f>'SO 2 - UT'!J33</f>
        <v>0</v>
      </c>
      <c r="AW70" s="78">
        <f>'SO 2 - UT'!J34</f>
        <v>0</v>
      </c>
      <c r="AX70" s="78">
        <f>'SO 2 - UT'!J35</f>
        <v>0</v>
      </c>
      <c r="AY70" s="78">
        <f>'SO 2 - UT'!J36</f>
        <v>0</v>
      </c>
      <c r="AZ70" s="78">
        <f>'SO 2 - UT'!F33</f>
        <v>0</v>
      </c>
      <c r="BA70" s="78">
        <f>'SO 2 - UT'!F34</f>
        <v>0</v>
      </c>
      <c r="BB70" s="78">
        <f>'SO 2 - UT'!F35</f>
        <v>0</v>
      </c>
      <c r="BC70" s="78">
        <f>'SO 2 - UT'!F36</f>
        <v>0</v>
      </c>
      <c r="BD70" s="80">
        <f>'SO 2 - UT'!F37</f>
        <v>0</v>
      </c>
      <c r="BT70" s="81" t="s">
        <v>85</v>
      </c>
      <c r="BV70" s="81" t="s">
        <v>79</v>
      </c>
      <c r="BW70" s="81" t="s">
        <v>132</v>
      </c>
      <c r="BX70" s="81" t="s">
        <v>5</v>
      </c>
      <c r="CL70" s="81" t="s">
        <v>3</v>
      </c>
      <c r="CM70" s="81" t="s">
        <v>87</v>
      </c>
    </row>
    <row r="71" spans="1:91" s="6" customFormat="1" ht="16.5" customHeight="1">
      <c r="A71" s="72" t="s">
        <v>81</v>
      </c>
      <c r="B71" s="73"/>
      <c r="C71" s="74"/>
      <c r="D71" s="279" t="s">
        <v>133</v>
      </c>
      <c r="E71" s="279"/>
      <c r="F71" s="279"/>
      <c r="G71" s="279"/>
      <c r="H71" s="279"/>
      <c r="I71" s="75"/>
      <c r="J71" s="279" t="s">
        <v>134</v>
      </c>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304">
        <f>'SO 3 - elektroinstalace'!J30</f>
        <v>0</v>
      </c>
      <c r="AH71" s="305"/>
      <c r="AI71" s="305"/>
      <c r="AJ71" s="305"/>
      <c r="AK71" s="305"/>
      <c r="AL71" s="305"/>
      <c r="AM71" s="305"/>
      <c r="AN71" s="304">
        <f t="shared" si="0"/>
        <v>0</v>
      </c>
      <c r="AO71" s="305"/>
      <c r="AP71" s="305"/>
      <c r="AQ71" s="76" t="s">
        <v>84</v>
      </c>
      <c r="AR71" s="73"/>
      <c r="AS71" s="77">
        <v>0</v>
      </c>
      <c r="AT71" s="78">
        <f t="shared" si="1"/>
        <v>0</v>
      </c>
      <c r="AU71" s="79">
        <f>'SO 3 - elektroinstalace'!P82</f>
        <v>0</v>
      </c>
      <c r="AV71" s="78">
        <f>'SO 3 - elektroinstalace'!J33</f>
        <v>0</v>
      </c>
      <c r="AW71" s="78">
        <f>'SO 3 - elektroinstalace'!J34</f>
        <v>0</v>
      </c>
      <c r="AX71" s="78">
        <f>'SO 3 - elektroinstalace'!J35</f>
        <v>0</v>
      </c>
      <c r="AY71" s="78">
        <f>'SO 3 - elektroinstalace'!J36</f>
        <v>0</v>
      </c>
      <c r="AZ71" s="78">
        <f>'SO 3 - elektroinstalace'!F33</f>
        <v>0</v>
      </c>
      <c r="BA71" s="78">
        <f>'SO 3 - elektroinstalace'!F34</f>
        <v>0</v>
      </c>
      <c r="BB71" s="78">
        <f>'SO 3 - elektroinstalace'!F35</f>
        <v>0</v>
      </c>
      <c r="BC71" s="78">
        <f>'SO 3 - elektroinstalace'!F36</f>
        <v>0</v>
      </c>
      <c r="BD71" s="80">
        <f>'SO 3 - elektroinstalace'!F37</f>
        <v>0</v>
      </c>
      <c r="BT71" s="81" t="s">
        <v>85</v>
      </c>
      <c r="BV71" s="81" t="s">
        <v>79</v>
      </c>
      <c r="BW71" s="81" t="s">
        <v>135</v>
      </c>
      <c r="BX71" s="81" t="s">
        <v>5</v>
      </c>
      <c r="CL71" s="81" t="s">
        <v>3</v>
      </c>
      <c r="CM71" s="81" t="s">
        <v>87</v>
      </c>
    </row>
    <row r="72" spans="1:91" s="6" customFormat="1" ht="16.5" customHeight="1">
      <c r="A72" s="72" t="s">
        <v>81</v>
      </c>
      <c r="B72" s="73"/>
      <c r="C72" s="74"/>
      <c r="D72" s="279" t="s">
        <v>136</v>
      </c>
      <c r="E72" s="279"/>
      <c r="F72" s="279"/>
      <c r="G72" s="279"/>
      <c r="H72" s="279"/>
      <c r="I72" s="75"/>
      <c r="J72" s="279" t="s">
        <v>137</v>
      </c>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304">
        <f>'SO 4 - ZTI'!J30</f>
        <v>0</v>
      </c>
      <c r="AH72" s="305"/>
      <c r="AI72" s="305"/>
      <c r="AJ72" s="305"/>
      <c r="AK72" s="305"/>
      <c r="AL72" s="305"/>
      <c r="AM72" s="305"/>
      <c r="AN72" s="304">
        <f t="shared" si="0"/>
        <v>0</v>
      </c>
      <c r="AO72" s="305"/>
      <c r="AP72" s="305"/>
      <c r="AQ72" s="76" t="s">
        <v>84</v>
      </c>
      <c r="AR72" s="73"/>
      <c r="AS72" s="77">
        <v>0</v>
      </c>
      <c r="AT72" s="78">
        <f t="shared" si="1"/>
        <v>0</v>
      </c>
      <c r="AU72" s="79">
        <f>'SO 4 - ZTI'!P93</f>
        <v>0</v>
      </c>
      <c r="AV72" s="78">
        <f>'SO 4 - ZTI'!J33</f>
        <v>0</v>
      </c>
      <c r="AW72" s="78">
        <f>'SO 4 - ZTI'!J34</f>
        <v>0</v>
      </c>
      <c r="AX72" s="78">
        <f>'SO 4 - ZTI'!J35</f>
        <v>0</v>
      </c>
      <c r="AY72" s="78">
        <f>'SO 4 - ZTI'!J36</f>
        <v>0</v>
      </c>
      <c r="AZ72" s="78">
        <f>'SO 4 - ZTI'!F33</f>
        <v>0</v>
      </c>
      <c r="BA72" s="78">
        <f>'SO 4 - ZTI'!F34</f>
        <v>0</v>
      </c>
      <c r="BB72" s="78">
        <f>'SO 4 - ZTI'!F35</f>
        <v>0</v>
      </c>
      <c r="BC72" s="78">
        <f>'SO 4 - ZTI'!F36</f>
        <v>0</v>
      </c>
      <c r="BD72" s="80">
        <f>'SO 4 - ZTI'!F37</f>
        <v>0</v>
      </c>
      <c r="BT72" s="81" t="s">
        <v>85</v>
      </c>
      <c r="BV72" s="81" t="s">
        <v>79</v>
      </c>
      <c r="BW72" s="81" t="s">
        <v>138</v>
      </c>
      <c r="BX72" s="81" t="s">
        <v>5</v>
      </c>
      <c r="CL72" s="81" t="s">
        <v>3</v>
      </c>
      <c r="CM72" s="81" t="s">
        <v>87</v>
      </c>
    </row>
    <row r="73" spans="1:91" s="6" customFormat="1" ht="16.5" customHeight="1">
      <c r="A73" s="72" t="s">
        <v>81</v>
      </c>
      <c r="B73" s="73"/>
      <c r="C73" s="74"/>
      <c r="D73" s="279" t="s">
        <v>139</v>
      </c>
      <c r="E73" s="279"/>
      <c r="F73" s="279"/>
      <c r="G73" s="279"/>
      <c r="H73" s="279"/>
      <c r="I73" s="75"/>
      <c r="J73" s="279" t="s">
        <v>140</v>
      </c>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304">
        <f>'SO 5 - VZT'!J30</f>
        <v>0</v>
      </c>
      <c r="AH73" s="305"/>
      <c r="AI73" s="305"/>
      <c r="AJ73" s="305"/>
      <c r="AK73" s="305"/>
      <c r="AL73" s="305"/>
      <c r="AM73" s="305"/>
      <c r="AN73" s="304">
        <f t="shared" si="0"/>
        <v>0</v>
      </c>
      <c r="AO73" s="305"/>
      <c r="AP73" s="305"/>
      <c r="AQ73" s="76" t="s">
        <v>84</v>
      </c>
      <c r="AR73" s="73"/>
      <c r="AS73" s="77">
        <v>0</v>
      </c>
      <c r="AT73" s="78">
        <f t="shared" si="1"/>
        <v>0</v>
      </c>
      <c r="AU73" s="79">
        <f>'SO 5 - VZT'!P82</f>
        <v>0</v>
      </c>
      <c r="AV73" s="78">
        <f>'SO 5 - VZT'!J33</f>
        <v>0</v>
      </c>
      <c r="AW73" s="78">
        <f>'SO 5 - VZT'!J34</f>
        <v>0</v>
      </c>
      <c r="AX73" s="78">
        <f>'SO 5 - VZT'!J35</f>
        <v>0</v>
      </c>
      <c r="AY73" s="78">
        <f>'SO 5 - VZT'!J36</f>
        <v>0</v>
      </c>
      <c r="AZ73" s="78">
        <f>'SO 5 - VZT'!F33</f>
        <v>0</v>
      </c>
      <c r="BA73" s="78">
        <f>'SO 5 - VZT'!F34</f>
        <v>0</v>
      </c>
      <c r="BB73" s="78">
        <f>'SO 5 - VZT'!F35</f>
        <v>0</v>
      </c>
      <c r="BC73" s="78">
        <f>'SO 5 - VZT'!F36</f>
        <v>0</v>
      </c>
      <c r="BD73" s="80">
        <f>'SO 5 - VZT'!F37</f>
        <v>0</v>
      </c>
      <c r="BT73" s="81" t="s">
        <v>85</v>
      </c>
      <c r="BV73" s="81" t="s">
        <v>79</v>
      </c>
      <c r="BW73" s="81" t="s">
        <v>141</v>
      </c>
      <c r="BX73" s="81" t="s">
        <v>5</v>
      </c>
      <c r="CL73" s="81" t="s">
        <v>3</v>
      </c>
      <c r="CM73" s="81" t="s">
        <v>87</v>
      </c>
    </row>
    <row r="74" spans="1:91" s="6" customFormat="1" ht="16.5" customHeight="1">
      <c r="A74" s="72" t="s">
        <v>81</v>
      </c>
      <c r="B74" s="73"/>
      <c r="C74" s="74"/>
      <c r="D74" s="279" t="s">
        <v>142</v>
      </c>
      <c r="E74" s="279"/>
      <c r="F74" s="279"/>
      <c r="G74" s="279"/>
      <c r="H74" s="279"/>
      <c r="I74" s="75"/>
      <c r="J74" s="279" t="s">
        <v>143</v>
      </c>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304">
        <f>'VON - vedlejší a ostatní ...'!J30</f>
        <v>0</v>
      </c>
      <c r="AH74" s="305"/>
      <c r="AI74" s="305"/>
      <c r="AJ74" s="305"/>
      <c r="AK74" s="305"/>
      <c r="AL74" s="305"/>
      <c r="AM74" s="305"/>
      <c r="AN74" s="304">
        <f t="shared" si="0"/>
        <v>0</v>
      </c>
      <c r="AO74" s="305"/>
      <c r="AP74" s="305"/>
      <c r="AQ74" s="76" t="s">
        <v>84</v>
      </c>
      <c r="AR74" s="73"/>
      <c r="AS74" s="82">
        <v>0</v>
      </c>
      <c r="AT74" s="83">
        <f t="shared" si="1"/>
        <v>0</v>
      </c>
      <c r="AU74" s="84">
        <f>'VON - vedlejší a ostatní ...'!P82</f>
        <v>0</v>
      </c>
      <c r="AV74" s="83">
        <f>'VON - vedlejší a ostatní ...'!J33</f>
        <v>0</v>
      </c>
      <c r="AW74" s="83">
        <f>'VON - vedlejší a ostatní ...'!J34</f>
        <v>0</v>
      </c>
      <c r="AX74" s="83">
        <f>'VON - vedlejší a ostatní ...'!J35</f>
        <v>0</v>
      </c>
      <c r="AY74" s="83">
        <f>'VON - vedlejší a ostatní ...'!J36</f>
        <v>0</v>
      </c>
      <c r="AZ74" s="83">
        <f>'VON - vedlejší a ostatní ...'!F33</f>
        <v>0</v>
      </c>
      <c r="BA74" s="83">
        <f>'VON - vedlejší a ostatní ...'!F34</f>
        <v>0</v>
      </c>
      <c r="BB74" s="83">
        <f>'VON - vedlejší a ostatní ...'!F35</f>
        <v>0</v>
      </c>
      <c r="BC74" s="83">
        <f>'VON - vedlejší a ostatní ...'!F36</f>
        <v>0</v>
      </c>
      <c r="BD74" s="85">
        <f>'VON - vedlejší a ostatní ...'!F37</f>
        <v>0</v>
      </c>
      <c r="BT74" s="81" t="s">
        <v>85</v>
      </c>
      <c r="BV74" s="81" t="s">
        <v>79</v>
      </c>
      <c r="BW74" s="81" t="s">
        <v>144</v>
      </c>
      <c r="BX74" s="81" t="s">
        <v>5</v>
      </c>
      <c r="CL74" s="81" t="s">
        <v>3</v>
      </c>
      <c r="CM74" s="81" t="s">
        <v>87</v>
      </c>
    </row>
    <row r="75" spans="2:44" s="1" customFormat="1" ht="30" customHeight="1">
      <c r="B75" s="33"/>
      <c r="AR75" s="33"/>
    </row>
    <row r="76" spans="2:44" s="1" customFormat="1" ht="6.95" customHeight="1">
      <c r="B76" s="42"/>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33"/>
    </row>
  </sheetData>
  <mergeCells count="118">
    <mergeCell ref="AN74:AP74"/>
    <mergeCell ref="AG74:AM74"/>
    <mergeCell ref="AN54:AP5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56:AM56"/>
    <mergeCell ref="AG58:AM58"/>
    <mergeCell ref="AM47:AN47"/>
    <mergeCell ref="AM49:AP49"/>
    <mergeCell ref="AM50:AP50"/>
    <mergeCell ref="AN63:AP63"/>
    <mergeCell ref="AN57:AP57"/>
    <mergeCell ref="AN52:AP52"/>
    <mergeCell ref="AN62:AP62"/>
    <mergeCell ref="AN61:AP61"/>
    <mergeCell ref="D74:H74"/>
    <mergeCell ref="J74:AF74"/>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D69:H69"/>
    <mergeCell ref="J69:AF69"/>
    <mergeCell ref="D70:H70"/>
    <mergeCell ref="J70:AF70"/>
    <mergeCell ref="D71:H71"/>
    <mergeCell ref="J71:AF71"/>
    <mergeCell ref="D72:H72"/>
    <mergeCell ref="J72:AF72"/>
    <mergeCell ref="D73:H73"/>
    <mergeCell ref="J73:AF73"/>
    <mergeCell ref="L45:AO45"/>
    <mergeCell ref="D65:H65"/>
    <mergeCell ref="J65:AF65"/>
    <mergeCell ref="D66:H66"/>
    <mergeCell ref="J66:AF66"/>
    <mergeCell ref="D67:H67"/>
    <mergeCell ref="J67:AF67"/>
    <mergeCell ref="D68:H68"/>
    <mergeCell ref="J68:AF68"/>
    <mergeCell ref="AG64:AM64"/>
    <mergeCell ref="AN64:AP64"/>
    <mergeCell ref="AN56:AP56"/>
    <mergeCell ref="AN60:AP60"/>
    <mergeCell ref="AN58:AP58"/>
    <mergeCell ref="AN59:AP59"/>
    <mergeCell ref="AN55:AP55"/>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 ref="D62:H62"/>
  </mergeCells>
  <hyperlinks>
    <hyperlink ref="A55" location="'E 1 - Vyklizení objektu, ...'!C2" display="/"/>
    <hyperlink ref="A56" location="'E 2 - Sanace betonové kon...'!C2" display="/"/>
    <hyperlink ref="A57" location="'E 3 - Vyzdění severního p...'!C2" display="/"/>
    <hyperlink ref="A58" location="'E 4 - Oddělení bourané a ...'!C2" display="/"/>
    <hyperlink ref="A59" location="'E 5 - Dozdívky a vybourán...'!C2" display="/"/>
    <hyperlink ref="A60" location="'E 6 - Provedení střechy p...'!C2" display="/"/>
    <hyperlink ref="A61" location="'E 7 - Vybourání stávající...'!C2" display="/"/>
    <hyperlink ref="A62" location="'E 8 - Provedení otvoru pr...'!C2" display="/"/>
    <hyperlink ref="A63" location="'E 9 - Hrubá stavba nové d...'!C2" display="/"/>
    <hyperlink ref="A64" location="'E10 - Vybourání dispozice...'!C2" display="/"/>
    <hyperlink ref="A65" location="'E11 - Hrubá stavba nové d...'!C2" display="/"/>
    <hyperlink ref="A66" location="'E12 - Osazení výplní pláš...'!C2" display="/"/>
    <hyperlink ref="A67" location="'E13 - Oprava a stavební ú...'!C2" display="/"/>
    <hyperlink ref="A68" location="'E14 - Dokončovací práce -...'!C2" display="/"/>
    <hyperlink ref="A69" location="'E15 - Vyrovnání terénu po...'!C2" display="/"/>
    <hyperlink ref="A70" location="'SO 2 - UT'!C2" display="/"/>
    <hyperlink ref="A71" location="'SO 3 - elektroinstalace'!C2" display="/"/>
    <hyperlink ref="A72" location="'SO 4 - ZTI'!C2" display="/"/>
    <hyperlink ref="A73" location="'SO 5 - VZT'!C2" display="/"/>
    <hyperlink ref="A74"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9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111</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1693</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ROUND(J85,2)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ROUND((SUM(BE85:BE190)),2)</f>
        <v>0</v>
      </c>
      <c r="I33" s="90">
        <v>0.21</v>
      </c>
      <c r="J33" s="89">
        <f>ROUND(((SUM(BE85:BE190))*I33),2)</f>
        <v>0</v>
      </c>
      <c r="L33" s="33"/>
    </row>
    <row r="34" spans="2:12" s="1" customFormat="1" ht="14.45" customHeight="1">
      <c r="B34" s="33"/>
      <c r="E34" s="28" t="s">
        <v>49</v>
      </c>
      <c r="F34" s="89">
        <f>ROUND((SUM(BF85:BF190)),2)</f>
        <v>0</v>
      </c>
      <c r="I34" s="90">
        <v>0.15</v>
      </c>
      <c r="J34" s="89">
        <f>ROUND(((SUM(BF85:BF190))*I34),2)</f>
        <v>0</v>
      </c>
      <c r="L34" s="33"/>
    </row>
    <row r="35" spans="2:12" s="1" customFormat="1" ht="14.45" customHeight="1" hidden="1">
      <c r="B35" s="33"/>
      <c r="E35" s="28" t="s">
        <v>50</v>
      </c>
      <c r="F35" s="89">
        <f>ROUND((SUM(BG85:BG190)),2)</f>
        <v>0</v>
      </c>
      <c r="I35" s="90">
        <v>0.21</v>
      </c>
      <c r="J35" s="89">
        <f>0</f>
        <v>0</v>
      </c>
      <c r="L35" s="33"/>
    </row>
    <row r="36" spans="2:12" s="1" customFormat="1" ht="14.45" customHeight="1" hidden="1">
      <c r="B36" s="33"/>
      <c r="E36" s="28" t="s">
        <v>51</v>
      </c>
      <c r="F36" s="89">
        <f>ROUND((SUM(BH85:BH190)),2)</f>
        <v>0</v>
      </c>
      <c r="I36" s="90">
        <v>0.15</v>
      </c>
      <c r="J36" s="89">
        <f>0</f>
        <v>0</v>
      </c>
      <c r="L36" s="33"/>
    </row>
    <row r="37" spans="2:12" s="1" customFormat="1" ht="14.45" customHeight="1" hidden="1">
      <c r="B37" s="33"/>
      <c r="E37" s="28" t="s">
        <v>52</v>
      </c>
      <c r="F37" s="89">
        <f>ROUND((SUM(BI85:BI190)),2)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9 - Hrubá stavba nové dispozice 2. NP</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J85</f>
        <v>0</v>
      </c>
      <c r="L59" s="33"/>
      <c r="AU59" s="18" t="s">
        <v>152</v>
      </c>
    </row>
    <row r="60" spans="2:12" s="8" customFormat="1" ht="24.95" customHeight="1">
      <c r="B60" s="100"/>
      <c r="D60" s="101" t="s">
        <v>153</v>
      </c>
      <c r="E60" s="102"/>
      <c r="F60" s="102"/>
      <c r="G60" s="102"/>
      <c r="H60" s="102"/>
      <c r="I60" s="102"/>
      <c r="J60" s="103">
        <f>J86</f>
        <v>0</v>
      </c>
      <c r="L60" s="100"/>
    </row>
    <row r="61" spans="2:12" s="9" customFormat="1" ht="19.9" customHeight="1">
      <c r="B61" s="104"/>
      <c r="D61" s="105" t="s">
        <v>545</v>
      </c>
      <c r="E61" s="106"/>
      <c r="F61" s="106"/>
      <c r="G61" s="106"/>
      <c r="H61" s="106"/>
      <c r="I61" s="106"/>
      <c r="J61" s="107">
        <f>J87</f>
        <v>0</v>
      </c>
      <c r="L61" s="104"/>
    </row>
    <row r="62" spans="2:12" s="9" customFormat="1" ht="19.9" customHeight="1">
      <c r="B62" s="104"/>
      <c r="D62" s="105" t="s">
        <v>546</v>
      </c>
      <c r="E62" s="106"/>
      <c r="F62" s="106"/>
      <c r="G62" s="106"/>
      <c r="H62" s="106"/>
      <c r="I62" s="106"/>
      <c r="J62" s="107">
        <f>J134</f>
        <v>0</v>
      </c>
      <c r="L62" s="104"/>
    </row>
    <row r="63" spans="2:12" s="9" customFormat="1" ht="19.9" customHeight="1">
      <c r="B63" s="104"/>
      <c r="D63" s="105" t="s">
        <v>325</v>
      </c>
      <c r="E63" s="106"/>
      <c r="F63" s="106"/>
      <c r="G63" s="106"/>
      <c r="H63" s="106"/>
      <c r="I63" s="106"/>
      <c r="J63" s="107">
        <f>J171</f>
        <v>0</v>
      </c>
      <c r="L63" s="104"/>
    </row>
    <row r="64" spans="2:12" s="9" customFormat="1" ht="19.9" customHeight="1">
      <c r="B64" s="104"/>
      <c r="D64" s="105" t="s">
        <v>326</v>
      </c>
      <c r="E64" s="106"/>
      <c r="F64" s="106"/>
      <c r="G64" s="106"/>
      <c r="H64" s="106"/>
      <c r="I64" s="106"/>
      <c r="J64" s="107">
        <f>J182</f>
        <v>0</v>
      </c>
      <c r="L64" s="104"/>
    </row>
    <row r="65" spans="2:12" s="8" customFormat="1" ht="24.95" customHeight="1">
      <c r="B65" s="100"/>
      <c r="D65" s="101" t="s">
        <v>161</v>
      </c>
      <c r="E65" s="102"/>
      <c r="F65" s="102"/>
      <c r="G65" s="102"/>
      <c r="H65" s="102"/>
      <c r="I65" s="102"/>
      <c r="J65" s="103">
        <f>J187</f>
        <v>0</v>
      </c>
      <c r="L65" s="100"/>
    </row>
    <row r="66" spans="2:12" s="1" customFormat="1" ht="21.75" customHeight="1">
      <c r="B66" s="33"/>
      <c r="L66" s="33"/>
    </row>
    <row r="67" spans="2:12" s="1" customFormat="1" ht="6.95" customHeight="1">
      <c r="B67" s="42"/>
      <c r="C67" s="43"/>
      <c r="D67" s="43"/>
      <c r="E67" s="43"/>
      <c r="F67" s="43"/>
      <c r="G67" s="43"/>
      <c r="H67" s="43"/>
      <c r="I67" s="43"/>
      <c r="J67" s="43"/>
      <c r="K67" s="43"/>
      <c r="L67" s="33"/>
    </row>
    <row r="71" spans="2:12" s="1" customFormat="1" ht="6.95" customHeight="1">
      <c r="B71" s="44"/>
      <c r="C71" s="45"/>
      <c r="D71" s="45"/>
      <c r="E71" s="45"/>
      <c r="F71" s="45"/>
      <c r="G71" s="45"/>
      <c r="H71" s="45"/>
      <c r="I71" s="45"/>
      <c r="J71" s="45"/>
      <c r="K71" s="45"/>
      <c r="L71" s="33"/>
    </row>
    <row r="72" spans="2:12" s="1" customFormat="1" ht="24.95" customHeight="1">
      <c r="B72" s="33"/>
      <c r="C72" s="22" t="s">
        <v>162</v>
      </c>
      <c r="L72" s="33"/>
    </row>
    <row r="73" spans="2:12" s="1" customFormat="1" ht="6.95" customHeight="1">
      <c r="B73" s="33"/>
      <c r="L73" s="33"/>
    </row>
    <row r="74" spans="2:12" s="1" customFormat="1" ht="12" customHeight="1">
      <c r="B74" s="33"/>
      <c r="C74" s="28" t="s">
        <v>17</v>
      </c>
      <c r="L74" s="33"/>
    </row>
    <row r="75" spans="2:12" s="1" customFormat="1" ht="16.5" customHeight="1">
      <c r="B75" s="33"/>
      <c r="E75" s="315" t="str">
        <f>E7</f>
        <v>ZŠ P. HOLÉHO - PŘESTAVBA PLAVECKÉHO PAVILONU</v>
      </c>
      <c r="F75" s="316"/>
      <c r="G75" s="316"/>
      <c r="H75" s="316"/>
      <c r="L75" s="33"/>
    </row>
    <row r="76" spans="2:12" s="1" customFormat="1" ht="12" customHeight="1">
      <c r="B76" s="33"/>
      <c r="C76" s="28" t="s">
        <v>146</v>
      </c>
      <c r="L76" s="33"/>
    </row>
    <row r="77" spans="2:12" s="1" customFormat="1" ht="16.5" customHeight="1">
      <c r="B77" s="33"/>
      <c r="E77" s="281" t="str">
        <f>E9</f>
        <v>E 9 - Hrubá stavba nové dispozice 2. NP</v>
      </c>
      <c r="F77" s="317"/>
      <c r="G77" s="317"/>
      <c r="H77" s="317"/>
      <c r="L77" s="33"/>
    </row>
    <row r="78" spans="2:12" s="1" customFormat="1" ht="6.95" customHeight="1">
      <c r="B78" s="33"/>
      <c r="L78" s="33"/>
    </row>
    <row r="79" spans="2:12" s="1" customFormat="1" ht="12" customHeight="1">
      <c r="B79" s="33"/>
      <c r="C79" s="28" t="s">
        <v>21</v>
      </c>
      <c r="F79" s="26" t="str">
        <f>F12</f>
        <v>Prokopa Holého 2632, Louny, 440 01</v>
      </c>
      <c r="I79" s="28" t="s">
        <v>23</v>
      </c>
      <c r="J79" s="50" t="str">
        <f>IF(J12="","",J12)</f>
        <v>21. 9. 2022</v>
      </c>
      <c r="L79" s="33"/>
    </row>
    <row r="80" spans="2:12" s="1" customFormat="1" ht="6.95" customHeight="1">
      <c r="B80" s="33"/>
      <c r="L80" s="33"/>
    </row>
    <row r="81" spans="2:12" s="1" customFormat="1" ht="15.2" customHeight="1">
      <c r="B81" s="33"/>
      <c r="C81" s="28" t="s">
        <v>25</v>
      </c>
      <c r="F81" s="26" t="str">
        <f>E15</f>
        <v>Město Louny</v>
      </c>
      <c r="I81" s="28" t="s">
        <v>32</v>
      </c>
      <c r="J81" s="31" t="str">
        <f>E21</f>
        <v>RYSIK Design s.r.o.</v>
      </c>
      <c r="L81" s="33"/>
    </row>
    <row r="82" spans="2:12" s="1" customFormat="1" ht="25.7" customHeight="1">
      <c r="B82" s="33"/>
      <c r="C82" s="28" t="s">
        <v>30</v>
      </c>
      <c r="F82" s="26" t="str">
        <f>IF(E18="","",E18)</f>
        <v>Vyplň údaj</v>
      </c>
      <c r="I82" s="28" t="s">
        <v>37</v>
      </c>
      <c r="J82" s="31" t="str">
        <f>E24</f>
        <v>ing. Kateřina Tumpachová</v>
      </c>
      <c r="L82" s="33"/>
    </row>
    <row r="83" spans="2:12" s="1" customFormat="1" ht="10.35" customHeight="1">
      <c r="B83" s="33"/>
      <c r="L83" s="33"/>
    </row>
    <row r="84" spans="2:20" s="10" customFormat="1" ht="29.25" customHeight="1">
      <c r="B84" s="108"/>
      <c r="C84" s="109" t="s">
        <v>163</v>
      </c>
      <c r="D84" s="110" t="s">
        <v>62</v>
      </c>
      <c r="E84" s="110" t="s">
        <v>58</v>
      </c>
      <c r="F84" s="110" t="s">
        <v>59</v>
      </c>
      <c r="G84" s="110" t="s">
        <v>164</v>
      </c>
      <c r="H84" s="110" t="s">
        <v>165</v>
      </c>
      <c r="I84" s="110" t="s">
        <v>166</v>
      </c>
      <c r="J84" s="110" t="s">
        <v>151</v>
      </c>
      <c r="K84" s="111" t="s">
        <v>167</v>
      </c>
      <c r="L84" s="108"/>
      <c r="M84" s="57" t="s">
        <v>3</v>
      </c>
      <c r="N84" s="58" t="s">
        <v>47</v>
      </c>
      <c r="O84" s="58" t="s">
        <v>168</v>
      </c>
      <c r="P84" s="58" t="s">
        <v>169</v>
      </c>
      <c r="Q84" s="58" t="s">
        <v>170</v>
      </c>
      <c r="R84" s="58" t="s">
        <v>171</v>
      </c>
      <c r="S84" s="58" t="s">
        <v>172</v>
      </c>
      <c r="T84" s="59" t="s">
        <v>173</v>
      </c>
    </row>
    <row r="85" spans="2:63" s="1" customFormat="1" ht="22.9" customHeight="1">
      <c r="B85" s="33"/>
      <c r="C85" s="62" t="s">
        <v>174</v>
      </c>
      <c r="J85" s="112">
        <f>BK85</f>
        <v>0</v>
      </c>
      <c r="L85" s="33"/>
      <c r="M85" s="60"/>
      <c r="N85" s="51"/>
      <c r="O85" s="51"/>
      <c r="P85" s="113">
        <f>P86+P187</f>
        <v>0</v>
      </c>
      <c r="Q85" s="51"/>
      <c r="R85" s="113">
        <f>R86+R187</f>
        <v>48.0592201366</v>
      </c>
      <c r="S85" s="51"/>
      <c r="T85" s="114">
        <f>T86+T187</f>
        <v>0</v>
      </c>
      <c r="AT85" s="18" t="s">
        <v>76</v>
      </c>
      <c r="AU85" s="18" t="s">
        <v>152</v>
      </c>
      <c r="BK85" s="115">
        <f>BK86+BK187</f>
        <v>0</v>
      </c>
    </row>
    <row r="86" spans="2:63" s="11" customFormat="1" ht="25.9" customHeight="1">
      <c r="B86" s="116"/>
      <c r="D86" s="117" t="s">
        <v>76</v>
      </c>
      <c r="E86" s="118" t="s">
        <v>175</v>
      </c>
      <c r="F86" s="118" t="s">
        <v>176</v>
      </c>
      <c r="I86" s="119"/>
      <c r="J86" s="120">
        <f>BK86</f>
        <v>0</v>
      </c>
      <c r="L86" s="116"/>
      <c r="M86" s="121"/>
      <c r="P86" s="122">
        <f>P87+P134+P171+P182</f>
        <v>0</v>
      </c>
      <c r="R86" s="122">
        <f>R87+R134+R171+R182</f>
        <v>48.0592201366</v>
      </c>
      <c r="T86" s="123">
        <f>T87+T134+T171+T182</f>
        <v>0</v>
      </c>
      <c r="AR86" s="117" t="s">
        <v>85</v>
      </c>
      <c r="AT86" s="124" t="s">
        <v>76</v>
      </c>
      <c r="AU86" s="124" t="s">
        <v>77</v>
      </c>
      <c r="AY86" s="117" t="s">
        <v>177</v>
      </c>
      <c r="BK86" s="125">
        <f>BK87+BK134+BK171+BK182</f>
        <v>0</v>
      </c>
    </row>
    <row r="87" spans="2:63" s="11" customFormat="1" ht="22.9" customHeight="1">
      <c r="B87" s="116"/>
      <c r="D87" s="117" t="s">
        <v>76</v>
      </c>
      <c r="E87" s="126" t="s">
        <v>198</v>
      </c>
      <c r="F87" s="126" t="s">
        <v>559</v>
      </c>
      <c r="I87" s="119"/>
      <c r="J87" s="127">
        <f>BK87</f>
        <v>0</v>
      </c>
      <c r="L87" s="116"/>
      <c r="M87" s="121"/>
      <c r="P87" s="122">
        <f>SUM(P88:P133)</f>
        <v>0</v>
      </c>
      <c r="R87" s="122">
        <f>SUM(R88:R133)</f>
        <v>33.72061005</v>
      </c>
      <c r="T87" s="123">
        <f>SUM(T88:T133)</f>
        <v>0</v>
      </c>
      <c r="AR87" s="117" t="s">
        <v>85</v>
      </c>
      <c r="AT87" s="124" t="s">
        <v>76</v>
      </c>
      <c r="AU87" s="124" t="s">
        <v>85</v>
      </c>
      <c r="AY87" s="117" t="s">
        <v>177</v>
      </c>
      <c r="BK87" s="125">
        <f>SUM(BK88:BK133)</f>
        <v>0</v>
      </c>
    </row>
    <row r="88" spans="2:65" s="1" customFormat="1" ht="33" customHeight="1">
      <c r="B88" s="128"/>
      <c r="C88" s="129" t="s">
        <v>85</v>
      </c>
      <c r="D88" s="129" t="s">
        <v>180</v>
      </c>
      <c r="E88" s="130" t="s">
        <v>1694</v>
      </c>
      <c r="F88" s="131" t="s">
        <v>1695</v>
      </c>
      <c r="G88" s="132" t="s">
        <v>332</v>
      </c>
      <c r="H88" s="133">
        <v>158.19</v>
      </c>
      <c r="I88" s="134"/>
      <c r="J88" s="135">
        <f>ROUND(I88*H88,2)</f>
        <v>0</v>
      </c>
      <c r="K88" s="131" t="s">
        <v>184</v>
      </c>
      <c r="L88" s="33"/>
      <c r="M88" s="136" t="s">
        <v>3</v>
      </c>
      <c r="N88" s="137" t="s">
        <v>48</v>
      </c>
      <c r="P88" s="138">
        <f>O88*H88</f>
        <v>0</v>
      </c>
      <c r="Q88" s="138">
        <v>0.16992</v>
      </c>
      <c r="R88" s="138">
        <f>Q88*H88</f>
        <v>26.879644799999998</v>
      </c>
      <c r="S88" s="138">
        <v>0</v>
      </c>
      <c r="T88" s="139">
        <f>S88*H88</f>
        <v>0</v>
      </c>
      <c r="AR88" s="140" t="s">
        <v>185</v>
      </c>
      <c r="AT88" s="140" t="s">
        <v>180</v>
      </c>
      <c r="AU88" s="140" t="s">
        <v>87</v>
      </c>
      <c r="AY88" s="18" t="s">
        <v>177</v>
      </c>
      <c r="BE88" s="141">
        <f>IF(N88="základní",J88,0)</f>
        <v>0</v>
      </c>
      <c r="BF88" s="141">
        <f>IF(N88="snížená",J88,0)</f>
        <v>0</v>
      </c>
      <c r="BG88" s="141">
        <f>IF(N88="zákl. přenesená",J88,0)</f>
        <v>0</v>
      </c>
      <c r="BH88" s="141">
        <f>IF(N88="sníž. přenesená",J88,0)</f>
        <v>0</v>
      </c>
      <c r="BI88" s="141">
        <f>IF(N88="nulová",J88,0)</f>
        <v>0</v>
      </c>
      <c r="BJ88" s="18" t="s">
        <v>85</v>
      </c>
      <c r="BK88" s="141">
        <f>ROUND(I88*H88,2)</f>
        <v>0</v>
      </c>
      <c r="BL88" s="18" t="s">
        <v>185</v>
      </c>
      <c r="BM88" s="140" t="s">
        <v>1696</v>
      </c>
    </row>
    <row r="89" spans="2:47" s="1" customFormat="1" ht="29.25">
      <c r="B89" s="33"/>
      <c r="D89" s="142" t="s">
        <v>187</v>
      </c>
      <c r="F89" s="143" t="s">
        <v>1697</v>
      </c>
      <c r="I89" s="144"/>
      <c r="L89" s="33"/>
      <c r="M89" s="145"/>
      <c r="T89" s="54"/>
      <c r="AT89" s="18" t="s">
        <v>187</v>
      </c>
      <c r="AU89" s="18" t="s">
        <v>87</v>
      </c>
    </row>
    <row r="90" spans="2:47" s="1" customFormat="1" ht="11.25">
      <c r="B90" s="33"/>
      <c r="D90" s="146" t="s">
        <v>189</v>
      </c>
      <c r="F90" s="147" t="s">
        <v>1698</v>
      </c>
      <c r="I90" s="144"/>
      <c r="L90" s="33"/>
      <c r="M90" s="145"/>
      <c r="T90" s="54"/>
      <c r="AT90" s="18" t="s">
        <v>189</v>
      </c>
      <c r="AU90" s="18" t="s">
        <v>87</v>
      </c>
    </row>
    <row r="91" spans="2:51" s="12" customFormat="1" ht="11.25">
      <c r="B91" s="149"/>
      <c r="D91" s="142" t="s">
        <v>193</v>
      </c>
      <c r="E91" s="150" t="s">
        <v>3</v>
      </c>
      <c r="F91" s="151" t="s">
        <v>1699</v>
      </c>
      <c r="H91" s="152">
        <v>172.714</v>
      </c>
      <c r="I91" s="153"/>
      <c r="L91" s="149"/>
      <c r="M91" s="154"/>
      <c r="T91" s="155"/>
      <c r="AT91" s="150" t="s">
        <v>193</v>
      </c>
      <c r="AU91" s="150" t="s">
        <v>87</v>
      </c>
      <c r="AV91" s="12" t="s">
        <v>87</v>
      </c>
      <c r="AW91" s="12" t="s">
        <v>36</v>
      </c>
      <c r="AX91" s="12" t="s">
        <v>77</v>
      </c>
      <c r="AY91" s="150" t="s">
        <v>177</v>
      </c>
    </row>
    <row r="92" spans="2:51" s="12" customFormat="1" ht="11.25">
      <c r="B92" s="149"/>
      <c r="D92" s="142" t="s">
        <v>193</v>
      </c>
      <c r="E92" s="150" t="s">
        <v>3</v>
      </c>
      <c r="F92" s="151" t="s">
        <v>1700</v>
      </c>
      <c r="H92" s="152">
        <v>-8.274</v>
      </c>
      <c r="I92" s="153"/>
      <c r="L92" s="149"/>
      <c r="M92" s="154"/>
      <c r="T92" s="155"/>
      <c r="AT92" s="150" t="s">
        <v>193</v>
      </c>
      <c r="AU92" s="150" t="s">
        <v>87</v>
      </c>
      <c r="AV92" s="12" t="s">
        <v>87</v>
      </c>
      <c r="AW92" s="12" t="s">
        <v>36</v>
      </c>
      <c r="AX92" s="12" t="s">
        <v>77</v>
      </c>
      <c r="AY92" s="150" t="s">
        <v>177</v>
      </c>
    </row>
    <row r="93" spans="2:51" s="12" customFormat="1" ht="11.25">
      <c r="B93" s="149"/>
      <c r="D93" s="142" t="s">
        <v>193</v>
      </c>
      <c r="E93" s="150" t="s">
        <v>3</v>
      </c>
      <c r="F93" s="151" t="s">
        <v>1701</v>
      </c>
      <c r="H93" s="152">
        <v>-6.25</v>
      </c>
      <c r="I93" s="153"/>
      <c r="L93" s="149"/>
      <c r="M93" s="154"/>
      <c r="T93" s="155"/>
      <c r="AT93" s="150" t="s">
        <v>193</v>
      </c>
      <c r="AU93" s="150" t="s">
        <v>87</v>
      </c>
      <c r="AV93" s="12" t="s">
        <v>87</v>
      </c>
      <c r="AW93" s="12" t="s">
        <v>36</v>
      </c>
      <c r="AX93" s="12" t="s">
        <v>77</v>
      </c>
      <c r="AY93" s="150" t="s">
        <v>177</v>
      </c>
    </row>
    <row r="94" spans="2:51" s="15" customFormat="1" ht="11.25">
      <c r="B94" s="169"/>
      <c r="D94" s="142" t="s">
        <v>193</v>
      </c>
      <c r="E94" s="170" t="s">
        <v>3</v>
      </c>
      <c r="F94" s="171" t="s">
        <v>201</v>
      </c>
      <c r="H94" s="172">
        <v>158.19</v>
      </c>
      <c r="I94" s="173"/>
      <c r="L94" s="169"/>
      <c r="M94" s="174"/>
      <c r="T94" s="175"/>
      <c r="AT94" s="170" t="s">
        <v>193</v>
      </c>
      <c r="AU94" s="170" t="s">
        <v>87</v>
      </c>
      <c r="AV94" s="15" t="s">
        <v>185</v>
      </c>
      <c r="AW94" s="15" t="s">
        <v>36</v>
      </c>
      <c r="AX94" s="15" t="s">
        <v>85</v>
      </c>
      <c r="AY94" s="170" t="s">
        <v>177</v>
      </c>
    </row>
    <row r="95" spans="2:65" s="1" customFormat="1" ht="33" customHeight="1">
      <c r="B95" s="128"/>
      <c r="C95" s="129" t="s">
        <v>87</v>
      </c>
      <c r="D95" s="129" t="s">
        <v>180</v>
      </c>
      <c r="E95" s="130" t="s">
        <v>1702</v>
      </c>
      <c r="F95" s="131" t="s">
        <v>1703</v>
      </c>
      <c r="G95" s="132" t="s">
        <v>236</v>
      </c>
      <c r="H95" s="133">
        <v>4</v>
      </c>
      <c r="I95" s="134"/>
      <c r="J95" s="135">
        <f>ROUND(I95*H95,2)</f>
        <v>0</v>
      </c>
      <c r="K95" s="131" t="s">
        <v>184</v>
      </c>
      <c r="L95" s="33"/>
      <c r="M95" s="136" t="s">
        <v>3</v>
      </c>
      <c r="N95" s="137" t="s">
        <v>48</v>
      </c>
      <c r="P95" s="138">
        <f>O95*H95</f>
        <v>0</v>
      </c>
      <c r="Q95" s="138">
        <v>0.01551</v>
      </c>
      <c r="R95" s="138">
        <f>Q95*H95</f>
        <v>0.06204</v>
      </c>
      <c r="S95" s="138">
        <v>0</v>
      </c>
      <c r="T95" s="139">
        <f>S95*H95</f>
        <v>0</v>
      </c>
      <c r="AR95" s="140" t="s">
        <v>185</v>
      </c>
      <c r="AT95" s="140" t="s">
        <v>180</v>
      </c>
      <c r="AU95" s="140" t="s">
        <v>87</v>
      </c>
      <c r="AY95" s="18" t="s">
        <v>177</v>
      </c>
      <c r="BE95" s="141">
        <f>IF(N95="základní",J95,0)</f>
        <v>0</v>
      </c>
      <c r="BF95" s="141">
        <f>IF(N95="snížená",J95,0)</f>
        <v>0</v>
      </c>
      <c r="BG95" s="141">
        <f>IF(N95="zákl. přenesená",J95,0)</f>
        <v>0</v>
      </c>
      <c r="BH95" s="141">
        <f>IF(N95="sníž. přenesená",J95,0)</f>
        <v>0</v>
      </c>
      <c r="BI95" s="141">
        <f>IF(N95="nulová",J95,0)</f>
        <v>0</v>
      </c>
      <c r="BJ95" s="18" t="s">
        <v>85</v>
      </c>
      <c r="BK95" s="141">
        <f>ROUND(I95*H95,2)</f>
        <v>0</v>
      </c>
      <c r="BL95" s="18" t="s">
        <v>185</v>
      </c>
      <c r="BM95" s="140" t="s">
        <v>1704</v>
      </c>
    </row>
    <row r="96" spans="2:47" s="1" customFormat="1" ht="29.25">
      <c r="B96" s="33"/>
      <c r="D96" s="142" t="s">
        <v>187</v>
      </c>
      <c r="F96" s="143" t="s">
        <v>1705</v>
      </c>
      <c r="I96" s="144"/>
      <c r="L96" s="33"/>
      <c r="M96" s="145"/>
      <c r="T96" s="54"/>
      <c r="AT96" s="18" t="s">
        <v>187</v>
      </c>
      <c r="AU96" s="18" t="s">
        <v>87</v>
      </c>
    </row>
    <row r="97" spans="2:47" s="1" customFormat="1" ht="11.25">
      <c r="B97" s="33"/>
      <c r="D97" s="146" t="s">
        <v>189</v>
      </c>
      <c r="F97" s="147" t="s">
        <v>1706</v>
      </c>
      <c r="I97" s="144"/>
      <c r="L97" s="33"/>
      <c r="M97" s="145"/>
      <c r="T97" s="54"/>
      <c r="AT97" s="18" t="s">
        <v>189</v>
      </c>
      <c r="AU97" s="18" t="s">
        <v>87</v>
      </c>
    </row>
    <row r="98" spans="2:47" s="1" customFormat="1" ht="39">
      <c r="B98" s="33"/>
      <c r="D98" s="142" t="s">
        <v>191</v>
      </c>
      <c r="F98" s="148" t="s">
        <v>1707</v>
      </c>
      <c r="I98" s="144"/>
      <c r="L98" s="33"/>
      <c r="M98" s="145"/>
      <c r="T98" s="54"/>
      <c r="AT98" s="18" t="s">
        <v>191</v>
      </c>
      <c r="AU98" s="18" t="s">
        <v>87</v>
      </c>
    </row>
    <row r="99" spans="2:65" s="1" customFormat="1" ht="33" customHeight="1">
      <c r="B99" s="128"/>
      <c r="C99" s="129" t="s">
        <v>198</v>
      </c>
      <c r="D99" s="129" t="s">
        <v>180</v>
      </c>
      <c r="E99" s="130" t="s">
        <v>1708</v>
      </c>
      <c r="F99" s="131" t="s">
        <v>1709</v>
      </c>
      <c r="G99" s="132" t="s">
        <v>236</v>
      </c>
      <c r="H99" s="133">
        <v>1</v>
      </c>
      <c r="I99" s="134"/>
      <c r="J99" s="135">
        <f>ROUND(I99*H99,2)</f>
        <v>0</v>
      </c>
      <c r="K99" s="131" t="s">
        <v>184</v>
      </c>
      <c r="L99" s="33"/>
      <c r="M99" s="136" t="s">
        <v>3</v>
      </c>
      <c r="N99" s="137" t="s">
        <v>48</v>
      </c>
      <c r="P99" s="138">
        <f>O99*H99</f>
        <v>0</v>
      </c>
      <c r="Q99" s="138">
        <v>0.02021</v>
      </c>
      <c r="R99" s="138">
        <f>Q99*H99</f>
        <v>0.02021</v>
      </c>
      <c r="S99" s="138">
        <v>0</v>
      </c>
      <c r="T99" s="139">
        <f>S99*H99</f>
        <v>0</v>
      </c>
      <c r="AR99" s="140" t="s">
        <v>185</v>
      </c>
      <c r="AT99" s="140" t="s">
        <v>180</v>
      </c>
      <c r="AU99" s="140" t="s">
        <v>87</v>
      </c>
      <c r="AY99" s="18" t="s">
        <v>177</v>
      </c>
      <c r="BE99" s="141">
        <f>IF(N99="základní",J99,0)</f>
        <v>0</v>
      </c>
      <c r="BF99" s="141">
        <f>IF(N99="snížená",J99,0)</f>
        <v>0</v>
      </c>
      <c r="BG99" s="141">
        <f>IF(N99="zákl. přenesená",J99,0)</f>
        <v>0</v>
      </c>
      <c r="BH99" s="141">
        <f>IF(N99="sníž. přenesená",J99,0)</f>
        <v>0</v>
      </c>
      <c r="BI99" s="141">
        <f>IF(N99="nulová",J99,0)</f>
        <v>0</v>
      </c>
      <c r="BJ99" s="18" t="s">
        <v>85</v>
      </c>
      <c r="BK99" s="141">
        <f>ROUND(I99*H99,2)</f>
        <v>0</v>
      </c>
      <c r="BL99" s="18" t="s">
        <v>185</v>
      </c>
      <c r="BM99" s="140" t="s">
        <v>1710</v>
      </c>
    </row>
    <row r="100" spans="2:47" s="1" customFormat="1" ht="29.25">
      <c r="B100" s="33"/>
      <c r="D100" s="142" t="s">
        <v>187</v>
      </c>
      <c r="F100" s="143" t="s">
        <v>1711</v>
      </c>
      <c r="I100" s="144"/>
      <c r="L100" s="33"/>
      <c r="M100" s="145"/>
      <c r="T100" s="54"/>
      <c r="AT100" s="18" t="s">
        <v>187</v>
      </c>
      <c r="AU100" s="18" t="s">
        <v>87</v>
      </c>
    </row>
    <row r="101" spans="2:47" s="1" customFormat="1" ht="11.25">
      <c r="B101" s="33"/>
      <c r="D101" s="146" t="s">
        <v>189</v>
      </c>
      <c r="F101" s="147" t="s">
        <v>1712</v>
      </c>
      <c r="I101" s="144"/>
      <c r="L101" s="33"/>
      <c r="M101" s="145"/>
      <c r="T101" s="54"/>
      <c r="AT101" s="18" t="s">
        <v>189</v>
      </c>
      <c r="AU101" s="18" t="s">
        <v>87</v>
      </c>
    </row>
    <row r="102" spans="2:47" s="1" customFormat="1" ht="39">
      <c r="B102" s="33"/>
      <c r="D102" s="142" t="s">
        <v>191</v>
      </c>
      <c r="F102" s="148" t="s">
        <v>1707</v>
      </c>
      <c r="I102" s="144"/>
      <c r="L102" s="33"/>
      <c r="M102" s="145"/>
      <c r="T102" s="54"/>
      <c r="AT102" s="18" t="s">
        <v>191</v>
      </c>
      <c r="AU102" s="18" t="s">
        <v>87</v>
      </c>
    </row>
    <row r="103" spans="2:65" s="1" customFormat="1" ht="33" customHeight="1">
      <c r="B103" s="128"/>
      <c r="C103" s="129" t="s">
        <v>185</v>
      </c>
      <c r="D103" s="129" t="s">
        <v>180</v>
      </c>
      <c r="E103" s="130" t="s">
        <v>1713</v>
      </c>
      <c r="F103" s="131" t="s">
        <v>1714</v>
      </c>
      <c r="G103" s="132" t="s">
        <v>236</v>
      </c>
      <c r="H103" s="133">
        <v>2</v>
      </c>
      <c r="I103" s="134"/>
      <c r="J103" s="135">
        <f>ROUND(I103*H103,2)</f>
        <v>0</v>
      </c>
      <c r="K103" s="131" t="s">
        <v>184</v>
      </c>
      <c r="L103" s="33"/>
      <c r="M103" s="136" t="s">
        <v>3</v>
      </c>
      <c r="N103" s="137" t="s">
        <v>48</v>
      </c>
      <c r="P103" s="138">
        <f>O103*H103</f>
        <v>0</v>
      </c>
      <c r="Q103" s="138">
        <v>0.03963</v>
      </c>
      <c r="R103" s="138">
        <f>Q103*H103</f>
        <v>0.07926</v>
      </c>
      <c r="S103" s="138">
        <v>0</v>
      </c>
      <c r="T103" s="139">
        <f>S103*H103</f>
        <v>0</v>
      </c>
      <c r="AR103" s="140" t="s">
        <v>185</v>
      </c>
      <c r="AT103" s="140" t="s">
        <v>180</v>
      </c>
      <c r="AU103" s="140" t="s">
        <v>87</v>
      </c>
      <c r="AY103" s="18" t="s">
        <v>177</v>
      </c>
      <c r="BE103" s="141">
        <f>IF(N103="základní",J103,0)</f>
        <v>0</v>
      </c>
      <c r="BF103" s="141">
        <f>IF(N103="snížená",J103,0)</f>
        <v>0</v>
      </c>
      <c r="BG103" s="141">
        <f>IF(N103="zákl. přenesená",J103,0)</f>
        <v>0</v>
      </c>
      <c r="BH103" s="141">
        <f>IF(N103="sníž. přenesená",J103,0)</f>
        <v>0</v>
      </c>
      <c r="BI103" s="141">
        <f>IF(N103="nulová",J103,0)</f>
        <v>0</v>
      </c>
      <c r="BJ103" s="18" t="s">
        <v>85</v>
      </c>
      <c r="BK103" s="141">
        <f>ROUND(I103*H103,2)</f>
        <v>0</v>
      </c>
      <c r="BL103" s="18" t="s">
        <v>185</v>
      </c>
      <c r="BM103" s="140" t="s">
        <v>1715</v>
      </c>
    </row>
    <row r="104" spans="2:47" s="1" customFormat="1" ht="29.25">
      <c r="B104" s="33"/>
      <c r="D104" s="142" t="s">
        <v>187</v>
      </c>
      <c r="F104" s="143" t="s">
        <v>1716</v>
      </c>
      <c r="I104" s="144"/>
      <c r="L104" s="33"/>
      <c r="M104" s="145"/>
      <c r="T104" s="54"/>
      <c r="AT104" s="18" t="s">
        <v>187</v>
      </c>
      <c r="AU104" s="18" t="s">
        <v>87</v>
      </c>
    </row>
    <row r="105" spans="2:47" s="1" customFormat="1" ht="11.25">
      <c r="B105" s="33"/>
      <c r="D105" s="146" t="s">
        <v>189</v>
      </c>
      <c r="F105" s="147" t="s">
        <v>1717</v>
      </c>
      <c r="I105" s="144"/>
      <c r="L105" s="33"/>
      <c r="M105" s="145"/>
      <c r="T105" s="54"/>
      <c r="AT105" s="18" t="s">
        <v>189</v>
      </c>
      <c r="AU105" s="18" t="s">
        <v>87</v>
      </c>
    </row>
    <row r="106" spans="2:47" s="1" customFormat="1" ht="39">
      <c r="B106" s="33"/>
      <c r="D106" s="142" t="s">
        <v>191</v>
      </c>
      <c r="F106" s="148" t="s">
        <v>1707</v>
      </c>
      <c r="I106" s="144"/>
      <c r="L106" s="33"/>
      <c r="M106" s="145"/>
      <c r="T106" s="54"/>
      <c r="AT106" s="18" t="s">
        <v>191</v>
      </c>
      <c r="AU106" s="18" t="s">
        <v>87</v>
      </c>
    </row>
    <row r="107" spans="2:65" s="1" customFormat="1" ht="24.2" customHeight="1">
      <c r="B107" s="128"/>
      <c r="C107" s="129" t="s">
        <v>200</v>
      </c>
      <c r="D107" s="129" t="s">
        <v>180</v>
      </c>
      <c r="E107" s="130" t="s">
        <v>1718</v>
      </c>
      <c r="F107" s="131" t="s">
        <v>1719</v>
      </c>
      <c r="G107" s="132" t="s">
        <v>236</v>
      </c>
      <c r="H107" s="133">
        <v>13</v>
      </c>
      <c r="I107" s="134"/>
      <c r="J107" s="135">
        <f>ROUND(I107*H107,2)</f>
        <v>0</v>
      </c>
      <c r="K107" s="131" t="s">
        <v>184</v>
      </c>
      <c r="L107" s="33"/>
      <c r="M107" s="136" t="s">
        <v>3</v>
      </c>
      <c r="N107" s="137" t="s">
        <v>48</v>
      </c>
      <c r="P107" s="138">
        <f>O107*H107</f>
        <v>0</v>
      </c>
      <c r="Q107" s="138">
        <v>0.10931</v>
      </c>
      <c r="R107" s="138">
        <f>Q107*H107</f>
        <v>1.42103</v>
      </c>
      <c r="S107" s="138">
        <v>0</v>
      </c>
      <c r="T107" s="139">
        <f>S107*H107</f>
        <v>0</v>
      </c>
      <c r="AR107" s="140" t="s">
        <v>185</v>
      </c>
      <c r="AT107" s="140" t="s">
        <v>180</v>
      </c>
      <c r="AU107" s="140" t="s">
        <v>87</v>
      </c>
      <c r="AY107" s="18" t="s">
        <v>177</v>
      </c>
      <c r="BE107" s="141">
        <f>IF(N107="základní",J107,0)</f>
        <v>0</v>
      </c>
      <c r="BF107" s="141">
        <f>IF(N107="snížená",J107,0)</f>
        <v>0</v>
      </c>
      <c r="BG107" s="141">
        <f>IF(N107="zákl. přenesená",J107,0)</f>
        <v>0</v>
      </c>
      <c r="BH107" s="141">
        <f>IF(N107="sníž. přenesená",J107,0)</f>
        <v>0</v>
      </c>
      <c r="BI107" s="141">
        <f>IF(N107="nulová",J107,0)</f>
        <v>0</v>
      </c>
      <c r="BJ107" s="18" t="s">
        <v>85</v>
      </c>
      <c r="BK107" s="141">
        <f>ROUND(I107*H107,2)</f>
        <v>0</v>
      </c>
      <c r="BL107" s="18" t="s">
        <v>185</v>
      </c>
      <c r="BM107" s="140" t="s">
        <v>1720</v>
      </c>
    </row>
    <row r="108" spans="2:47" s="1" customFormat="1" ht="19.5">
      <c r="B108" s="33"/>
      <c r="D108" s="142" t="s">
        <v>187</v>
      </c>
      <c r="F108" s="143" t="s">
        <v>1721</v>
      </c>
      <c r="I108" s="144"/>
      <c r="L108" s="33"/>
      <c r="M108" s="145"/>
      <c r="T108" s="54"/>
      <c r="AT108" s="18" t="s">
        <v>187</v>
      </c>
      <c r="AU108" s="18" t="s">
        <v>87</v>
      </c>
    </row>
    <row r="109" spans="2:47" s="1" customFormat="1" ht="11.25">
      <c r="B109" s="33"/>
      <c r="D109" s="146" t="s">
        <v>189</v>
      </c>
      <c r="F109" s="147" t="s">
        <v>1722</v>
      </c>
      <c r="I109" s="144"/>
      <c r="L109" s="33"/>
      <c r="M109" s="145"/>
      <c r="T109" s="54"/>
      <c r="AT109" s="18" t="s">
        <v>189</v>
      </c>
      <c r="AU109" s="18" t="s">
        <v>87</v>
      </c>
    </row>
    <row r="110" spans="2:47" s="1" customFormat="1" ht="48.75">
      <c r="B110" s="33"/>
      <c r="D110" s="142" t="s">
        <v>191</v>
      </c>
      <c r="F110" s="148" t="s">
        <v>1723</v>
      </c>
      <c r="I110" s="144"/>
      <c r="L110" s="33"/>
      <c r="M110" s="145"/>
      <c r="T110" s="54"/>
      <c r="AT110" s="18" t="s">
        <v>191</v>
      </c>
      <c r="AU110" s="18" t="s">
        <v>87</v>
      </c>
    </row>
    <row r="111" spans="2:51" s="12" customFormat="1" ht="11.25">
      <c r="B111" s="149"/>
      <c r="D111" s="142" t="s">
        <v>193</v>
      </c>
      <c r="E111" s="150" t="s">
        <v>3</v>
      </c>
      <c r="F111" s="151" t="s">
        <v>198</v>
      </c>
      <c r="H111" s="152">
        <v>3</v>
      </c>
      <c r="I111" s="153"/>
      <c r="L111" s="149"/>
      <c r="M111" s="154"/>
      <c r="T111" s="155"/>
      <c r="AT111" s="150" t="s">
        <v>193</v>
      </c>
      <c r="AU111" s="150" t="s">
        <v>87</v>
      </c>
      <c r="AV111" s="12" t="s">
        <v>87</v>
      </c>
      <c r="AW111" s="12" t="s">
        <v>36</v>
      </c>
      <c r="AX111" s="12" t="s">
        <v>77</v>
      </c>
      <c r="AY111" s="150" t="s">
        <v>177</v>
      </c>
    </row>
    <row r="112" spans="2:51" s="12" customFormat="1" ht="11.25">
      <c r="B112" s="149"/>
      <c r="D112" s="142" t="s">
        <v>193</v>
      </c>
      <c r="E112" s="150" t="s">
        <v>3</v>
      </c>
      <c r="F112" s="151" t="s">
        <v>1724</v>
      </c>
      <c r="H112" s="152">
        <v>10</v>
      </c>
      <c r="I112" s="153"/>
      <c r="L112" s="149"/>
      <c r="M112" s="154"/>
      <c r="T112" s="155"/>
      <c r="AT112" s="150" t="s">
        <v>193</v>
      </c>
      <c r="AU112" s="150" t="s">
        <v>87</v>
      </c>
      <c r="AV112" s="12" t="s">
        <v>87</v>
      </c>
      <c r="AW112" s="12" t="s">
        <v>36</v>
      </c>
      <c r="AX112" s="12" t="s">
        <v>77</v>
      </c>
      <c r="AY112" s="150" t="s">
        <v>177</v>
      </c>
    </row>
    <row r="113" spans="2:51" s="15" customFormat="1" ht="11.25">
      <c r="B113" s="169"/>
      <c r="D113" s="142" t="s">
        <v>193</v>
      </c>
      <c r="E113" s="170" t="s">
        <v>3</v>
      </c>
      <c r="F113" s="171" t="s">
        <v>201</v>
      </c>
      <c r="H113" s="172">
        <v>13</v>
      </c>
      <c r="I113" s="173"/>
      <c r="L113" s="169"/>
      <c r="M113" s="174"/>
      <c r="T113" s="175"/>
      <c r="AT113" s="170" t="s">
        <v>193</v>
      </c>
      <c r="AU113" s="170" t="s">
        <v>87</v>
      </c>
      <c r="AV113" s="15" t="s">
        <v>185</v>
      </c>
      <c r="AW113" s="15" t="s">
        <v>36</v>
      </c>
      <c r="AX113" s="15" t="s">
        <v>85</v>
      </c>
      <c r="AY113" s="170" t="s">
        <v>177</v>
      </c>
    </row>
    <row r="114" spans="2:65" s="1" customFormat="1" ht="24.2" customHeight="1">
      <c r="B114" s="128"/>
      <c r="C114" s="129" t="s">
        <v>233</v>
      </c>
      <c r="D114" s="129" t="s">
        <v>180</v>
      </c>
      <c r="E114" s="130" t="s">
        <v>1725</v>
      </c>
      <c r="F114" s="131" t="s">
        <v>1726</v>
      </c>
      <c r="G114" s="132" t="s">
        <v>332</v>
      </c>
      <c r="H114" s="133">
        <v>53.624</v>
      </c>
      <c r="I114" s="134"/>
      <c r="J114" s="135">
        <f>ROUND(I114*H114,2)</f>
        <v>0</v>
      </c>
      <c r="K114" s="131" t="s">
        <v>184</v>
      </c>
      <c r="L114" s="33"/>
      <c r="M114" s="136" t="s">
        <v>3</v>
      </c>
      <c r="N114" s="137" t="s">
        <v>48</v>
      </c>
      <c r="P114" s="138">
        <f>O114*H114</f>
        <v>0</v>
      </c>
      <c r="Q114" s="138">
        <v>0.0525</v>
      </c>
      <c r="R114" s="138">
        <f>Q114*H114</f>
        <v>2.81526</v>
      </c>
      <c r="S114" s="138">
        <v>0</v>
      </c>
      <c r="T114" s="139">
        <f>S114*H114</f>
        <v>0</v>
      </c>
      <c r="AR114" s="140" t="s">
        <v>185</v>
      </c>
      <c r="AT114" s="140" t="s">
        <v>180</v>
      </c>
      <c r="AU114" s="140" t="s">
        <v>87</v>
      </c>
      <c r="AY114" s="18" t="s">
        <v>177</v>
      </c>
      <c r="BE114" s="141">
        <f>IF(N114="základní",J114,0)</f>
        <v>0</v>
      </c>
      <c r="BF114" s="141">
        <f>IF(N114="snížená",J114,0)</f>
        <v>0</v>
      </c>
      <c r="BG114" s="141">
        <f>IF(N114="zákl. přenesená",J114,0)</f>
        <v>0</v>
      </c>
      <c r="BH114" s="141">
        <f>IF(N114="sníž. přenesená",J114,0)</f>
        <v>0</v>
      </c>
      <c r="BI114" s="141">
        <f>IF(N114="nulová",J114,0)</f>
        <v>0</v>
      </c>
      <c r="BJ114" s="18" t="s">
        <v>85</v>
      </c>
      <c r="BK114" s="141">
        <f>ROUND(I114*H114,2)</f>
        <v>0</v>
      </c>
      <c r="BL114" s="18" t="s">
        <v>185</v>
      </c>
      <c r="BM114" s="140" t="s">
        <v>1727</v>
      </c>
    </row>
    <row r="115" spans="2:47" s="1" customFormat="1" ht="19.5">
      <c r="B115" s="33"/>
      <c r="D115" s="142" t="s">
        <v>187</v>
      </c>
      <c r="F115" s="143" t="s">
        <v>1728</v>
      </c>
      <c r="I115" s="144"/>
      <c r="L115" s="33"/>
      <c r="M115" s="145"/>
      <c r="T115" s="54"/>
      <c r="AT115" s="18" t="s">
        <v>187</v>
      </c>
      <c r="AU115" s="18" t="s">
        <v>87</v>
      </c>
    </row>
    <row r="116" spans="2:47" s="1" customFormat="1" ht="11.25">
      <c r="B116" s="33"/>
      <c r="D116" s="146" t="s">
        <v>189</v>
      </c>
      <c r="F116" s="147" t="s">
        <v>1729</v>
      </c>
      <c r="I116" s="144"/>
      <c r="L116" s="33"/>
      <c r="M116" s="145"/>
      <c r="T116" s="54"/>
      <c r="AT116" s="18" t="s">
        <v>189</v>
      </c>
      <c r="AU116" s="18" t="s">
        <v>87</v>
      </c>
    </row>
    <row r="117" spans="2:51" s="12" customFormat="1" ht="11.25">
      <c r="B117" s="149"/>
      <c r="D117" s="142" t="s">
        <v>193</v>
      </c>
      <c r="E117" s="150" t="s">
        <v>3</v>
      </c>
      <c r="F117" s="151" t="s">
        <v>1730</v>
      </c>
      <c r="H117" s="152">
        <v>62.292</v>
      </c>
      <c r="I117" s="153"/>
      <c r="L117" s="149"/>
      <c r="M117" s="154"/>
      <c r="T117" s="155"/>
      <c r="AT117" s="150" t="s">
        <v>193</v>
      </c>
      <c r="AU117" s="150" t="s">
        <v>87</v>
      </c>
      <c r="AV117" s="12" t="s">
        <v>87</v>
      </c>
      <c r="AW117" s="12" t="s">
        <v>36</v>
      </c>
      <c r="AX117" s="12" t="s">
        <v>77</v>
      </c>
      <c r="AY117" s="150" t="s">
        <v>177</v>
      </c>
    </row>
    <row r="118" spans="2:51" s="12" customFormat="1" ht="11.25">
      <c r="B118" s="149"/>
      <c r="D118" s="142" t="s">
        <v>193</v>
      </c>
      <c r="E118" s="150" t="s">
        <v>3</v>
      </c>
      <c r="F118" s="151" t="s">
        <v>1731</v>
      </c>
      <c r="H118" s="152">
        <v>-1.773</v>
      </c>
      <c r="I118" s="153"/>
      <c r="L118" s="149"/>
      <c r="M118" s="154"/>
      <c r="T118" s="155"/>
      <c r="AT118" s="150" t="s">
        <v>193</v>
      </c>
      <c r="AU118" s="150" t="s">
        <v>87</v>
      </c>
      <c r="AV118" s="12" t="s">
        <v>87</v>
      </c>
      <c r="AW118" s="12" t="s">
        <v>36</v>
      </c>
      <c r="AX118" s="12" t="s">
        <v>77</v>
      </c>
      <c r="AY118" s="150" t="s">
        <v>177</v>
      </c>
    </row>
    <row r="119" spans="2:51" s="12" customFormat="1" ht="11.25">
      <c r="B119" s="149"/>
      <c r="D119" s="142" t="s">
        <v>193</v>
      </c>
      <c r="E119" s="150" t="s">
        <v>3</v>
      </c>
      <c r="F119" s="151" t="s">
        <v>1732</v>
      </c>
      <c r="H119" s="152">
        <v>-6.895</v>
      </c>
      <c r="I119" s="153"/>
      <c r="L119" s="149"/>
      <c r="M119" s="154"/>
      <c r="T119" s="155"/>
      <c r="AT119" s="150" t="s">
        <v>193</v>
      </c>
      <c r="AU119" s="150" t="s">
        <v>87</v>
      </c>
      <c r="AV119" s="12" t="s">
        <v>87</v>
      </c>
      <c r="AW119" s="12" t="s">
        <v>36</v>
      </c>
      <c r="AX119" s="12" t="s">
        <v>77</v>
      </c>
      <c r="AY119" s="150" t="s">
        <v>177</v>
      </c>
    </row>
    <row r="120" spans="2:51" s="15" customFormat="1" ht="11.25">
      <c r="B120" s="169"/>
      <c r="D120" s="142" t="s">
        <v>193</v>
      </c>
      <c r="E120" s="170" t="s">
        <v>3</v>
      </c>
      <c r="F120" s="171" t="s">
        <v>201</v>
      </c>
      <c r="H120" s="172">
        <v>53.623999999999995</v>
      </c>
      <c r="I120" s="173"/>
      <c r="L120" s="169"/>
      <c r="M120" s="174"/>
      <c r="T120" s="175"/>
      <c r="AT120" s="170" t="s">
        <v>193</v>
      </c>
      <c r="AU120" s="170" t="s">
        <v>87</v>
      </c>
      <c r="AV120" s="15" t="s">
        <v>185</v>
      </c>
      <c r="AW120" s="15" t="s">
        <v>36</v>
      </c>
      <c r="AX120" s="15" t="s">
        <v>85</v>
      </c>
      <c r="AY120" s="170" t="s">
        <v>177</v>
      </c>
    </row>
    <row r="121" spans="2:65" s="1" customFormat="1" ht="24.2" customHeight="1">
      <c r="B121" s="128"/>
      <c r="C121" s="129" t="s">
        <v>241</v>
      </c>
      <c r="D121" s="129" t="s">
        <v>180</v>
      </c>
      <c r="E121" s="130" t="s">
        <v>1733</v>
      </c>
      <c r="F121" s="131" t="s">
        <v>1734</v>
      </c>
      <c r="G121" s="132" t="s">
        <v>332</v>
      </c>
      <c r="H121" s="133">
        <v>30.525</v>
      </c>
      <c r="I121" s="134"/>
      <c r="J121" s="135">
        <f>ROUND(I121*H121,2)</f>
        <v>0</v>
      </c>
      <c r="K121" s="131" t="s">
        <v>184</v>
      </c>
      <c r="L121" s="33"/>
      <c r="M121" s="136" t="s">
        <v>3</v>
      </c>
      <c r="N121" s="137" t="s">
        <v>48</v>
      </c>
      <c r="P121" s="138">
        <f>O121*H121</f>
        <v>0</v>
      </c>
      <c r="Q121" s="138">
        <v>0.07921</v>
      </c>
      <c r="R121" s="138">
        <f>Q121*H121</f>
        <v>2.41788525</v>
      </c>
      <c r="S121" s="138">
        <v>0</v>
      </c>
      <c r="T121" s="139">
        <f>S121*H121</f>
        <v>0</v>
      </c>
      <c r="AR121" s="140" t="s">
        <v>185</v>
      </c>
      <c r="AT121" s="140" t="s">
        <v>180</v>
      </c>
      <c r="AU121" s="140" t="s">
        <v>87</v>
      </c>
      <c r="AY121" s="18" t="s">
        <v>177</v>
      </c>
      <c r="BE121" s="141">
        <f>IF(N121="základní",J121,0)</f>
        <v>0</v>
      </c>
      <c r="BF121" s="141">
        <f>IF(N121="snížená",J121,0)</f>
        <v>0</v>
      </c>
      <c r="BG121" s="141">
        <f>IF(N121="zákl. přenesená",J121,0)</f>
        <v>0</v>
      </c>
      <c r="BH121" s="141">
        <f>IF(N121="sníž. přenesená",J121,0)</f>
        <v>0</v>
      </c>
      <c r="BI121" s="141">
        <f>IF(N121="nulová",J121,0)</f>
        <v>0</v>
      </c>
      <c r="BJ121" s="18" t="s">
        <v>85</v>
      </c>
      <c r="BK121" s="141">
        <f>ROUND(I121*H121,2)</f>
        <v>0</v>
      </c>
      <c r="BL121" s="18" t="s">
        <v>185</v>
      </c>
      <c r="BM121" s="140" t="s">
        <v>1735</v>
      </c>
    </row>
    <row r="122" spans="2:47" s="1" customFormat="1" ht="19.5">
      <c r="B122" s="33"/>
      <c r="D122" s="142" t="s">
        <v>187</v>
      </c>
      <c r="F122" s="143" t="s">
        <v>1736</v>
      </c>
      <c r="I122" s="144"/>
      <c r="L122" s="33"/>
      <c r="M122" s="145"/>
      <c r="T122" s="54"/>
      <c r="AT122" s="18" t="s">
        <v>187</v>
      </c>
      <c r="AU122" s="18" t="s">
        <v>87</v>
      </c>
    </row>
    <row r="123" spans="2:47" s="1" customFormat="1" ht="11.25">
      <c r="B123" s="33"/>
      <c r="D123" s="146" t="s">
        <v>189</v>
      </c>
      <c r="F123" s="147" t="s">
        <v>1737</v>
      </c>
      <c r="I123" s="144"/>
      <c r="L123" s="33"/>
      <c r="M123" s="145"/>
      <c r="T123" s="54"/>
      <c r="AT123" s="18" t="s">
        <v>189</v>
      </c>
      <c r="AU123" s="18" t="s">
        <v>87</v>
      </c>
    </row>
    <row r="124" spans="2:51" s="12" customFormat="1" ht="11.25">
      <c r="B124" s="149"/>
      <c r="D124" s="142" t="s">
        <v>193</v>
      </c>
      <c r="E124" s="150" t="s">
        <v>3</v>
      </c>
      <c r="F124" s="151" t="s">
        <v>1738</v>
      </c>
      <c r="H124" s="152">
        <v>35.056</v>
      </c>
      <c r="I124" s="153"/>
      <c r="L124" s="149"/>
      <c r="M124" s="154"/>
      <c r="T124" s="155"/>
      <c r="AT124" s="150" t="s">
        <v>193</v>
      </c>
      <c r="AU124" s="150" t="s">
        <v>87</v>
      </c>
      <c r="AV124" s="12" t="s">
        <v>87</v>
      </c>
      <c r="AW124" s="12" t="s">
        <v>36</v>
      </c>
      <c r="AX124" s="12" t="s">
        <v>77</v>
      </c>
      <c r="AY124" s="150" t="s">
        <v>177</v>
      </c>
    </row>
    <row r="125" spans="2:51" s="12" customFormat="1" ht="11.25">
      <c r="B125" s="149"/>
      <c r="D125" s="142" t="s">
        <v>193</v>
      </c>
      <c r="E125" s="150" t="s">
        <v>3</v>
      </c>
      <c r="F125" s="151" t="s">
        <v>1731</v>
      </c>
      <c r="H125" s="152">
        <v>-1.773</v>
      </c>
      <c r="I125" s="153"/>
      <c r="L125" s="149"/>
      <c r="M125" s="154"/>
      <c r="T125" s="155"/>
      <c r="AT125" s="150" t="s">
        <v>193</v>
      </c>
      <c r="AU125" s="150" t="s">
        <v>87</v>
      </c>
      <c r="AV125" s="12" t="s">
        <v>87</v>
      </c>
      <c r="AW125" s="12" t="s">
        <v>36</v>
      </c>
      <c r="AX125" s="12" t="s">
        <v>77</v>
      </c>
      <c r="AY125" s="150" t="s">
        <v>177</v>
      </c>
    </row>
    <row r="126" spans="2:51" s="12" customFormat="1" ht="11.25">
      <c r="B126" s="149"/>
      <c r="D126" s="142" t="s">
        <v>193</v>
      </c>
      <c r="E126" s="150" t="s">
        <v>3</v>
      </c>
      <c r="F126" s="151" t="s">
        <v>1739</v>
      </c>
      <c r="H126" s="152">
        <v>-2.758</v>
      </c>
      <c r="I126" s="153"/>
      <c r="L126" s="149"/>
      <c r="M126" s="154"/>
      <c r="T126" s="155"/>
      <c r="AT126" s="150" t="s">
        <v>193</v>
      </c>
      <c r="AU126" s="150" t="s">
        <v>87</v>
      </c>
      <c r="AV126" s="12" t="s">
        <v>87</v>
      </c>
      <c r="AW126" s="12" t="s">
        <v>36</v>
      </c>
      <c r="AX126" s="12" t="s">
        <v>77</v>
      </c>
      <c r="AY126" s="150" t="s">
        <v>177</v>
      </c>
    </row>
    <row r="127" spans="2:51" s="15" customFormat="1" ht="11.25">
      <c r="B127" s="169"/>
      <c r="D127" s="142" t="s">
        <v>193</v>
      </c>
      <c r="E127" s="170" t="s">
        <v>3</v>
      </c>
      <c r="F127" s="171" t="s">
        <v>201</v>
      </c>
      <c r="H127" s="172">
        <v>30.524999999999995</v>
      </c>
      <c r="I127" s="173"/>
      <c r="L127" s="169"/>
      <c r="M127" s="174"/>
      <c r="T127" s="175"/>
      <c r="AT127" s="170" t="s">
        <v>193</v>
      </c>
      <c r="AU127" s="170" t="s">
        <v>87</v>
      </c>
      <c r="AV127" s="15" t="s">
        <v>185</v>
      </c>
      <c r="AW127" s="15" t="s">
        <v>36</v>
      </c>
      <c r="AX127" s="15" t="s">
        <v>85</v>
      </c>
      <c r="AY127" s="170" t="s">
        <v>177</v>
      </c>
    </row>
    <row r="128" spans="2:65" s="1" customFormat="1" ht="24.2" customHeight="1">
      <c r="B128" s="128"/>
      <c r="C128" s="129" t="s">
        <v>248</v>
      </c>
      <c r="D128" s="129" t="s">
        <v>180</v>
      </c>
      <c r="E128" s="130" t="s">
        <v>612</v>
      </c>
      <c r="F128" s="131" t="s">
        <v>959</v>
      </c>
      <c r="G128" s="132" t="s">
        <v>476</v>
      </c>
      <c r="H128" s="133">
        <v>126.4</v>
      </c>
      <c r="I128" s="134"/>
      <c r="J128" s="135">
        <f>ROUND(I128*H128,2)</f>
        <v>0</v>
      </c>
      <c r="K128" s="131" t="s">
        <v>244</v>
      </c>
      <c r="L128" s="33"/>
      <c r="M128" s="136" t="s">
        <v>3</v>
      </c>
      <c r="N128" s="137" t="s">
        <v>48</v>
      </c>
      <c r="P128" s="138">
        <f>O128*H128</f>
        <v>0</v>
      </c>
      <c r="Q128" s="138">
        <v>0.0002</v>
      </c>
      <c r="R128" s="138">
        <f>Q128*H128</f>
        <v>0.025280000000000004</v>
      </c>
      <c r="S128" s="138">
        <v>0</v>
      </c>
      <c r="T128" s="139">
        <f>S128*H128</f>
        <v>0</v>
      </c>
      <c r="AR128" s="140" t="s">
        <v>185</v>
      </c>
      <c r="AT128" s="140" t="s">
        <v>180</v>
      </c>
      <c r="AU128" s="140" t="s">
        <v>87</v>
      </c>
      <c r="AY128" s="18" t="s">
        <v>177</v>
      </c>
      <c r="BE128" s="141">
        <f>IF(N128="základní",J128,0)</f>
        <v>0</v>
      </c>
      <c r="BF128" s="141">
        <f>IF(N128="snížená",J128,0)</f>
        <v>0</v>
      </c>
      <c r="BG128" s="141">
        <f>IF(N128="zákl. přenesená",J128,0)</f>
        <v>0</v>
      </c>
      <c r="BH128" s="141">
        <f>IF(N128="sníž. přenesená",J128,0)</f>
        <v>0</v>
      </c>
      <c r="BI128" s="141">
        <f>IF(N128="nulová",J128,0)</f>
        <v>0</v>
      </c>
      <c r="BJ128" s="18" t="s">
        <v>85</v>
      </c>
      <c r="BK128" s="141">
        <f>ROUND(I128*H128,2)</f>
        <v>0</v>
      </c>
      <c r="BL128" s="18" t="s">
        <v>185</v>
      </c>
      <c r="BM128" s="140" t="s">
        <v>1740</v>
      </c>
    </row>
    <row r="129" spans="2:47" s="1" customFormat="1" ht="11.25">
      <c r="B129" s="33"/>
      <c r="D129" s="142" t="s">
        <v>187</v>
      </c>
      <c r="F129" s="143" t="s">
        <v>615</v>
      </c>
      <c r="I129" s="144"/>
      <c r="L129" s="33"/>
      <c r="M129" s="145"/>
      <c r="T129" s="54"/>
      <c r="AT129" s="18" t="s">
        <v>187</v>
      </c>
      <c r="AU129" s="18" t="s">
        <v>87</v>
      </c>
    </row>
    <row r="130" spans="2:47" s="1" customFormat="1" ht="78">
      <c r="B130" s="33"/>
      <c r="D130" s="142" t="s">
        <v>191</v>
      </c>
      <c r="F130" s="148" t="s">
        <v>603</v>
      </c>
      <c r="I130" s="144"/>
      <c r="L130" s="33"/>
      <c r="M130" s="145"/>
      <c r="T130" s="54"/>
      <c r="AT130" s="18" t="s">
        <v>191</v>
      </c>
      <c r="AU130" s="18" t="s">
        <v>87</v>
      </c>
    </row>
    <row r="131" spans="2:51" s="12" customFormat="1" ht="11.25">
      <c r="B131" s="149"/>
      <c r="D131" s="142" t="s">
        <v>193</v>
      </c>
      <c r="E131" s="150" t="s">
        <v>3</v>
      </c>
      <c r="F131" s="151" t="s">
        <v>1741</v>
      </c>
      <c r="H131" s="152">
        <v>110.6</v>
      </c>
      <c r="I131" s="153"/>
      <c r="L131" s="149"/>
      <c r="M131" s="154"/>
      <c r="T131" s="155"/>
      <c r="AT131" s="150" t="s">
        <v>193</v>
      </c>
      <c r="AU131" s="150" t="s">
        <v>87</v>
      </c>
      <c r="AV131" s="12" t="s">
        <v>87</v>
      </c>
      <c r="AW131" s="12" t="s">
        <v>36</v>
      </c>
      <c r="AX131" s="12" t="s">
        <v>77</v>
      </c>
      <c r="AY131" s="150" t="s">
        <v>177</v>
      </c>
    </row>
    <row r="132" spans="2:51" s="12" customFormat="1" ht="11.25">
      <c r="B132" s="149"/>
      <c r="D132" s="142" t="s">
        <v>193</v>
      </c>
      <c r="E132" s="150" t="s">
        <v>3</v>
      </c>
      <c r="F132" s="151" t="s">
        <v>1742</v>
      </c>
      <c r="H132" s="152">
        <v>15.8</v>
      </c>
      <c r="I132" s="153"/>
      <c r="L132" s="149"/>
      <c r="M132" s="154"/>
      <c r="T132" s="155"/>
      <c r="AT132" s="150" t="s">
        <v>193</v>
      </c>
      <c r="AU132" s="150" t="s">
        <v>87</v>
      </c>
      <c r="AV132" s="12" t="s">
        <v>87</v>
      </c>
      <c r="AW132" s="12" t="s">
        <v>36</v>
      </c>
      <c r="AX132" s="12" t="s">
        <v>77</v>
      </c>
      <c r="AY132" s="150" t="s">
        <v>177</v>
      </c>
    </row>
    <row r="133" spans="2:51" s="15" customFormat="1" ht="11.25">
      <c r="B133" s="169"/>
      <c r="D133" s="142" t="s">
        <v>193</v>
      </c>
      <c r="E133" s="170" t="s">
        <v>3</v>
      </c>
      <c r="F133" s="171" t="s">
        <v>201</v>
      </c>
      <c r="H133" s="172">
        <v>126.39999999999999</v>
      </c>
      <c r="I133" s="173"/>
      <c r="L133" s="169"/>
      <c r="M133" s="174"/>
      <c r="T133" s="175"/>
      <c r="AT133" s="170" t="s">
        <v>193</v>
      </c>
      <c r="AU133" s="170" t="s">
        <v>87</v>
      </c>
      <c r="AV133" s="15" t="s">
        <v>185</v>
      </c>
      <c r="AW133" s="15" t="s">
        <v>36</v>
      </c>
      <c r="AX133" s="15" t="s">
        <v>85</v>
      </c>
      <c r="AY133" s="170" t="s">
        <v>177</v>
      </c>
    </row>
    <row r="134" spans="2:63" s="11" customFormat="1" ht="22.9" customHeight="1">
      <c r="B134" s="116"/>
      <c r="D134" s="117" t="s">
        <v>76</v>
      </c>
      <c r="E134" s="126" t="s">
        <v>233</v>
      </c>
      <c r="F134" s="126" t="s">
        <v>625</v>
      </c>
      <c r="I134" s="119"/>
      <c r="J134" s="127">
        <f>BK134</f>
        <v>0</v>
      </c>
      <c r="L134" s="116"/>
      <c r="M134" s="121"/>
      <c r="P134" s="122">
        <f>SUM(P135:P170)</f>
        <v>0</v>
      </c>
      <c r="R134" s="122">
        <f>SUM(R135:R170)</f>
        <v>14.2843580866</v>
      </c>
      <c r="T134" s="123">
        <f>SUM(T135:T170)</f>
        <v>0</v>
      </c>
      <c r="AR134" s="117" t="s">
        <v>85</v>
      </c>
      <c r="AT134" s="124" t="s">
        <v>76</v>
      </c>
      <c r="AU134" s="124" t="s">
        <v>85</v>
      </c>
      <c r="AY134" s="117" t="s">
        <v>177</v>
      </c>
      <c r="BK134" s="125">
        <f>SUM(BK135:BK170)</f>
        <v>0</v>
      </c>
    </row>
    <row r="135" spans="2:65" s="1" customFormat="1" ht="24.2" customHeight="1">
      <c r="B135" s="128"/>
      <c r="C135" s="129" t="s">
        <v>252</v>
      </c>
      <c r="D135" s="129" t="s">
        <v>180</v>
      </c>
      <c r="E135" s="130" t="s">
        <v>1743</v>
      </c>
      <c r="F135" s="131" t="s">
        <v>1744</v>
      </c>
      <c r="G135" s="132" t="s">
        <v>806</v>
      </c>
      <c r="H135" s="133">
        <v>5.824</v>
      </c>
      <c r="I135" s="134"/>
      <c r="J135" s="135">
        <f>ROUND(I135*H135,2)</f>
        <v>0</v>
      </c>
      <c r="K135" s="131" t="s">
        <v>184</v>
      </c>
      <c r="L135" s="33"/>
      <c r="M135" s="136" t="s">
        <v>3</v>
      </c>
      <c r="N135" s="137" t="s">
        <v>48</v>
      </c>
      <c r="P135" s="138">
        <f>O135*H135</f>
        <v>0</v>
      </c>
      <c r="Q135" s="138">
        <v>0.002525</v>
      </c>
      <c r="R135" s="138">
        <f>Q135*H135</f>
        <v>0.0147056</v>
      </c>
      <c r="S135" s="138">
        <v>0</v>
      </c>
      <c r="T135" s="139">
        <f>S135*H135</f>
        <v>0</v>
      </c>
      <c r="AR135" s="140" t="s">
        <v>185</v>
      </c>
      <c r="AT135" s="140" t="s">
        <v>180</v>
      </c>
      <c r="AU135" s="140" t="s">
        <v>87</v>
      </c>
      <c r="AY135" s="18" t="s">
        <v>177</v>
      </c>
      <c r="BE135" s="141">
        <f>IF(N135="základní",J135,0)</f>
        <v>0</v>
      </c>
      <c r="BF135" s="141">
        <f>IF(N135="snížená",J135,0)</f>
        <v>0</v>
      </c>
      <c r="BG135" s="141">
        <f>IF(N135="zákl. přenesená",J135,0)</f>
        <v>0</v>
      </c>
      <c r="BH135" s="141">
        <f>IF(N135="sníž. přenesená",J135,0)</f>
        <v>0</v>
      </c>
      <c r="BI135" s="141">
        <f>IF(N135="nulová",J135,0)</f>
        <v>0</v>
      </c>
      <c r="BJ135" s="18" t="s">
        <v>85</v>
      </c>
      <c r="BK135" s="141">
        <f>ROUND(I135*H135,2)</f>
        <v>0</v>
      </c>
      <c r="BL135" s="18" t="s">
        <v>185</v>
      </c>
      <c r="BM135" s="140" t="s">
        <v>1745</v>
      </c>
    </row>
    <row r="136" spans="2:47" s="1" customFormat="1" ht="19.5">
      <c r="B136" s="33"/>
      <c r="D136" s="142" t="s">
        <v>187</v>
      </c>
      <c r="F136" s="143" t="s">
        <v>1746</v>
      </c>
      <c r="I136" s="144"/>
      <c r="L136" s="33"/>
      <c r="M136" s="145"/>
      <c r="T136" s="54"/>
      <c r="AT136" s="18" t="s">
        <v>187</v>
      </c>
      <c r="AU136" s="18" t="s">
        <v>87</v>
      </c>
    </row>
    <row r="137" spans="2:47" s="1" customFormat="1" ht="11.25">
      <c r="B137" s="33"/>
      <c r="D137" s="146" t="s">
        <v>189</v>
      </c>
      <c r="F137" s="147" t="s">
        <v>1747</v>
      </c>
      <c r="I137" s="144"/>
      <c r="L137" s="33"/>
      <c r="M137" s="145"/>
      <c r="T137" s="54"/>
      <c r="AT137" s="18" t="s">
        <v>189</v>
      </c>
      <c r="AU137" s="18" t="s">
        <v>87</v>
      </c>
    </row>
    <row r="138" spans="2:51" s="12" customFormat="1" ht="11.25">
      <c r="B138" s="149"/>
      <c r="D138" s="142" t="s">
        <v>193</v>
      </c>
      <c r="E138" s="150" t="s">
        <v>3</v>
      </c>
      <c r="F138" s="151" t="s">
        <v>1748</v>
      </c>
      <c r="H138" s="152">
        <v>5.824</v>
      </c>
      <c r="I138" s="153"/>
      <c r="L138" s="149"/>
      <c r="M138" s="154"/>
      <c r="T138" s="155"/>
      <c r="AT138" s="150" t="s">
        <v>193</v>
      </c>
      <c r="AU138" s="150" t="s">
        <v>87</v>
      </c>
      <c r="AV138" s="12" t="s">
        <v>87</v>
      </c>
      <c r="AW138" s="12" t="s">
        <v>36</v>
      </c>
      <c r="AX138" s="12" t="s">
        <v>85</v>
      </c>
      <c r="AY138" s="150" t="s">
        <v>177</v>
      </c>
    </row>
    <row r="139" spans="2:65" s="1" customFormat="1" ht="24.2" customHeight="1">
      <c r="B139" s="128"/>
      <c r="C139" s="129" t="s">
        <v>258</v>
      </c>
      <c r="D139" s="129" t="s">
        <v>180</v>
      </c>
      <c r="E139" s="130" t="s">
        <v>1749</v>
      </c>
      <c r="F139" s="131" t="s">
        <v>1750</v>
      </c>
      <c r="G139" s="132" t="s">
        <v>332</v>
      </c>
      <c r="H139" s="133">
        <v>291.2</v>
      </c>
      <c r="I139" s="134"/>
      <c r="J139" s="135">
        <f>ROUND(I139*H139,2)</f>
        <v>0</v>
      </c>
      <c r="K139" s="131" t="s">
        <v>184</v>
      </c>
      <c r="L139" s="33"/>
      <c r="M139" s="136" t="s">
        <v>3</v>
      </c>
      <c r="N139" s="137" t="s">
        <v>48</v>
      </c>
      <c r="P139" s="138">
        <f>O139*H139</f>
        <v>0</v>
      </c>
      <c r="Q139" s="138">
        <v>0.0408</v>
      </c>
      <c r="R139" s="138">
        <f>Q139*H139</f>
        <v>11.88096</v>
      </c>
      <c r="S139" s="138">
        <v>0</v>
      </c>
      <c r="T139" s="139">
        <f>S139*H139</f>
        <v>0</v>
      </c>
      <c r="AR139" s="140" t="s">
        <v>185</v>
      </c>
      <c r="AT139" s="140" t="s">
        <v>180</v>
      </c>
      <c r="AU139" s="140" t="s">
        <v>87</v>
      </c>
      <c r="AY139" s="18" t="s">
        <v>177</v>
      </c>
      <c r="BE139" s="141">
        <f>IF(N139="základní",J139,0)</f>
        <v>0</v>
      </c>
      <c r="BF139" s="141">
        <f>IF(N139="snížená",J139,0)</f>
        <v>0</v>
      </c>
      <c r="BG139" s="141">
        <f>IF(N139="zákl. přenesená",J139,0)</f>
        <v>0</v>
      </c>
      <c r="BH139" s="141">
        <f>IF(N139="sníž. přenesená",J139,0)</f>
        <v>0</v>
      </c>
      <c r="BI139" s="141">
        <f>IF(N139="nulová",J139,0)</f>
        <v>0</v>
      </c>
      <c r="BJ139" s="18" t="s">
        <v>85</v>
      </c>
      <c r="BK139" s="141">
        <f>ROUND(I139*H139,2)</f>
        <v>0</v>
      </c>
      <c r="BL139" s="18" t="s">
        <v>185</v>
      </c>
      <c r="BM139" s="140" t="s">
        <v>1751</v>
      </c>
    </row>
    <row r="140" spans="2:47" s="1" customFormat="1" ht="19.5">
      <c r="B140" s="33"/>
      <c r="D140" s="142" t="s">
        <v>187</v>
      </c>
      <c r="F140" s="143" t="s">
        <v>1752</v>
      </c>
      <c r="I140" s="144"/>
      <c r="L140" s="33"/>
      <c r="M140" s="145"/>
      <c r="T140" s="54"/>
      <c r="AT140" s="18" t="s">
        <v>187</v>
      </c>
      <c r="AU140" s="18" t="s">
        <v>87</v>
      </c>
    </row>
    <row r="141" spans="2:47" s="1" customFormat="1" ht="11.25">
      <c r="B141" s="33"/>
      <c r="D141" s="146" t="s">
        <v>189</v>
      </c>
      <c r="F141" s="147" t="s">
        <v>1753</v>
      </c>
      <c r="I141" s="144"/>
      <c r="L141" s="33"/>
      <c r="M141" s="145"/>
      <c r="T141" s="54"/>
      <c r="AT141" s="18" t="s">
        <v>189</v>
      </c>
      <c r="AU141" s="18" t="s">
        <v>87</v>
      </c>
    </row>
    <row r="142" spans="2:51" s="12" customFormat="1" ht="11.25">
      <c r="B142" s="149"/>
      <c r="D142" s="142" t="s">
        <v>193</v>
      </c>
      <c r="E142" s="150" t="s">
        <v>3</v>
      </c>
      <c r="F142" s="151" t="s">
        <v>1754</v>
      </c>
      <c r="H142" s="152">
        <v>291.2</v>
      </c>
      <c r="I142" s="153"/>
      <c r="L142" s="149"/>
      <c r="M142" s="154"/>
      <c r="T142" s="155"/>
      <c r="AT142" s="150" t="s">
        <v>193</v>
      </c>
      <c r="AU142" s="150" t="s">
        <v>87</v>
      </c>
      <c r="AV142" s="12" t="s">
        <v>87</v>
      </c>
      <c r="AW142" s="12" t="s">
        <v>36</v>
      </c>
      <c r="AX142" s="12" t="s">
        <v>85</v>
      </c>
      <c r="AY142" s="150" t="s">
        <v>177</v>
      </c>
    </row>
    <row r="143" spans="2:65" s="1" customFormat="1" ht="33" customHeight="1">
      <c r="B143" s="128"/>
      <c r="C143" s="129" t="s">
        <v>265</v>
      </c>
      <c r="D143" s="129" t="s">
        <v>180</v>
      </c>
      <c r="E143" s="130" t="s">
        <v>1755</v>
      </c>
      <c r="F143" s="131" t="s">
        <v>1756</v>
      </c>
      <c r="G143" s="132" t="s">
        <v>476</v>
      </c>
      <c r="H143" s="133">
        <v>158.405</v>
      </c>
      <c r="I143" s="134"/>
      <c r="J143" s="135">
        <f>ROUND(I143*H143,2)</f>
        <v>0</v>
      </c>
      <c r="K143" s="131" t="s">
        <v>184</v>
      </c>
      <c r="L143" s="33"/>
      <c r="M143" s="136" t="s">
        <v>3</v>
      </c>
      <c r="N143" s="137" t="s">
        <v>48</v>
      </c>
      <c r="P143" s="138">
        <f>O143*H143</f>
        <v>0</v>
      </c>
      <c r="Q143" s="138">
        <v>2.1E-05</v>
      </c>
      <c r="R143" s="138">
        <f>Q143*H143</f>
        <v>0.003326505</v>
      </c>
      <c r="S143" s="138">
        <v>0</v>
      </c>
      <c r="T143" s="139">
        <f>S143*H143</f>
        <v>0</v>
      </c>
      <c r="AR143" s="140" t="s">
        <v>185</v>
      </c>
      <c r="AT143" s="140" t="s">
        <v>180</v>
      </c>
      <c r="AU143" s="140" t="s">
        <v>87</v>
      </c>
      <c r="AY143" s="18" t="s">
        <v>177</v>
      </c>
      <c r="BE143" s="141">
        <f>IF(N143="základní",J143,0)</f>
        <v>0</v>
      </c>
      <c r="BF143" s="141">
        <f>IF(N143="snížená",J143,0)</f>
        <v>0</v>
      </c>
      <c r="BG143" s="141">
        <f>IF(N143="zákl. přenesená",J143,0)</f>
        <v>0</v>
      </c>
      <c r="BH143" s="141">
        <f>IF(N143="sníž. přenesená",J143,0)</f>
        <v>0</v>
      </c>
      <c r="BI143" s="141">
        <f>IF(N143="nulová",J143,0)</f>
        <v>0</v>
      </c>
      <c r="BJ143" s="18" t="s">
        <v>85</v>
      </c>
      <c r="BK143" s="141">
        <f>ROUND(I143*H143,2)</f>
        <v>0</v>
      </c>
      <c r="BL143" s="18" t="s">
        <v>185</v>
      </c>
      <c r="BM143" s="140" t="s">
        <v>1757</v>
      </c>
    </row>
    <row r="144" spans="2:47" s="1" customFormat="1" ht="19.5">
      <c r="B144" s="33"/>
      <c r="D144" s="142" t="s">
        <v>187</v>
      </c>
      <c r="F144" s="143" t="s">
        <v>1758</v>
      </c>
      <c r="I144" s="144"/>
      <c r="L144" s="33"/>
      <c r="M144" s="145"/>
      <c r="T144" s="54"/>
      <c r="AT144" s="18" t="s">
        <v>187</v>
      </c>
      <c r="AU144" s="18" t="s">
        <v>87</v>
      </c>
    </row>
    <row r="145" spans="2:47" s="1" customFormat="1" ht="11.25">
      <c r="B145" s="33"/>
      <c r="D145" s="146" t="s">
        <v>189</v>
      </c>
      <c r="F145" s="147" t="s">
        <v>1759</v>
      </c>
      <c r="I145" s="144"/>
      <c r="L145" s="33"/>
      <c r="M145" s="145"/>
      <c r="T145" s="54"/>
      <c r="AT145" s="18" t="s">
        <v>189</v>
      </c>
      <c r="AU145" s="18" t="s">
        <v>87</v>
      </c>
    </row>
    <row r="146" spans="2:51" s="12" customFormat="1" ht="11.25">
      <c r="B146" s="149"/>
      <c r="D146" s="142" t="s">
        <v>193</v>
      </c>
      <c r="E146" s="150" t="s">
        <v>3</v>
      </c>
      <c r="F146" s="151" t="s">
        <v>1760</v>
      </c>
      <c r="H146" s="152">
        <v>39.18</v>
      </c>
      <c r="I146" s="153"/>
      <c r="L146" s="149"/>
      <c r="M146" s="154"/>
      <c r="T146" s="155"/>
      <c r="AT146" s="150" t="s">
        <v>193</v>
      </c>
      <c r="AU146" s="150" t="s">
        <v>87</v>
      </c>
      <c r="AV146" s="12" t="s">
        <v>87</v>
      </c>
      <c r="AW146" s="12" t="s">
        <v>36</v>
      </c>
      <c r="AX146" s="12" t="s">
        <v>77</v>
      </c>
      <c r="AY146" s="150" t="s">
        <v>177</v>
      </c>
    </row>
    <row r="147" spans="2:51" s="12" customFormat="1" ht="11.25">
      <c r="B147" s="149"/>
      <c r="D147" s="142" t="s">
        <v>193</v>
      </c>
      <c r="E147" s="150" t="s">
        <v>3</v>
      </c>
      <c r="F147" s="151" t="s">
        <v>1761</v>
      </c>
      <c r="H147" s="152">
        <v>45.91</v>
      </c>
      <c r="I147" s="153"/>
      <c r="L147" s="149"/>
      <c r="M147" s="154"/>
      <c r="T147" s="155"/>
      <c r="AT147" s="150" t="s">
        <v>193</v>
      </c>
      <c r="AU147" s="150" t="s">
        <v>87</v>
      </c>
      <c r="AV147" s="12" t="s">
        <v>87</v>
      </c>
      <c r="AW147" s="12" t="s">
        <v>36</v>
      </c>
      <c r="AX147" s="12" t="s">
        <v>77</v>
      </c>
      <c r="AY147" s="150" t="s">
        <v>177</v>
      </c>
    </row>
    <row r="148" spans="2:51" s="12" customFormat="1" ht="11.25">
      <c r="B148" s="149"/>
      <c r="D148" s="142" t="s">
        <v>193</v>
      </c>
      <c r="E148" s="150" t="s">
        <v>3</v>
      </c>
      <c r="F148" s="151" t="s">
        <v>1762</v>
      </c>
      <c r="H148" s="152">
        <v>43.845</v>
      </c>
      <c r="I148" s="153"/>
      <c r="L148" s="149"/>
      <c r="M148" s="154"/>
      <c r="T148" s="155"/>
      <c r="AT148" s="150" t="s">
        <v>193</v>
      </c>
      <c r="AU148" s="150" t="s">
        <v>87</v>
      </c>
      <c r="AV148" s="12" t="s">
        <v>87</v>
      </c>
      <c r="AW148" s="12" t="s">
        <v>36</v>
      </c>
      <c r="AX148" s="12" t="s">
        <v>77</v>
      </c>
      <c r="AY148" s="150" t="s">
        <v>177</v>
      </c>
    </row>
    <row r="149" spans="2:51" s="12" customFormat="1" ht="11.25">
      <c r="B149" s="149"/>
      <c r="D149" s="142" t="s">
        <v>193</v>
      </c>
      <c r="E149" s="150" t="s">
        <v>3</v>
      </c>
      <c r="F149" s="151" t="s">
        <v>1763</v>
      </c>
      <c r="H149" s="152">
        <v>29.47</v>
      </c>
      <c r="I149" s="153"/>
      <c r="L149" s="149"/>
      <c r="M149" s="154"/>
      <c r="T149" s="155"/>
      <c r="AT149" s="150" t="s">
        <v>193</v>
      </c>
      <c r="AU149" s="150" t="s">
        <v>87</v>
      </c>
      <c r="AV149" s="12" t="s">
        <v>87</v>
      </c>
      <c r="AW149" s="12" t="s">
        <v>36</v>
      </c>
      <c r="AX149" s="12" t="s">
        <v>77</v>
      </c>
      <c r="AY149" s="150" t="s">
        <v>177</v>
      </c>
    </row>
    <row r="150" spans="2:51" s="15" customFormat="1" ht="11.25">
      <c r="B150" s="169"/>
      <c r="D150" s="142" t="s">
        <v>193</v>
      </c>
      <c r="E150" s="170" t="s">
        <v>3</v>
      </c>
      <c r="F150" s="171" t="s">
        <v>201</v>
      </c>
      <c r="H150" s="172">
        <v>158.405</v>
      </c>
      <c r="I150" s="173"/>
      <c r="L150" s="169"/>
      <c r="M150" s="174"/>
      <c r="T150" s="175"/>
      <c r="AT150" s="170" t="s">
        <v>193</v>
      </c>
      <c r="AU150" s="170" t="s">
        <v>87</v>
      </c>
      <c r="AV150" s="15" t="s">
        <v>185</v>
      </c>
      <c r="AW150" s="15" t="s">
        <v>36</v>
      </c>
      <c r="AX150" s="15" t="s">
        <v>85</v>
      </c>
      <c r="AY150" s="170" t="s">
        <v>177</v>
      </c>
    </row>
    <row r="151" spans="2:65" s="1" customFormat="1" ht="24.2" customHeight="1">
      <c r="B151" s="128"/>
      <c r="C151" s="129" t="s">
        <v>271</v>
      </c>
      <c r="D151" s="129" t="s">
        <v>180</v>
      </c>
      <c r="E151" s="130" t="s">
        <v>1764</v>
      </c>
      <c r="F151" s="131" t="s">
        <v>1765</v>
      </c>
      <c r="G151" s="132" t="s">
        <v>236</v>
      </c>
      <c r="H151" s="133">
        <v>8</v>
      </c>
      <c r="I151" s="134"/>
      <c r="J151" s="135">
        <f>ROUND(I151*H151,2)</f>
        <v>0</v>
      </c>
      <c r="K151" s="131" t="s">
        <v>184</v>
      </c>
      <c r="L151" s="33"/>
      <c r="M151" s="136" t="s">
        <v>3</v>
      </c>
      <c r="N151" s="137" t="s">
        <v>48</v>
      </c>
      <c r="P151" s="138">
        <f>O151*H151</f>
        <v>0</v>
      </c>
      <c r="Q151" s="138">
        <v>0.0004816177</v>
      </c>
      <c r="R151" s="138">
        <f>Q151*H151</f>
        <v>0.0038529416</v>
      </c>
      <c r="S151" s="138">
        <v>0</v>
      </c>
      <c r="T151" s="139">
        <f>S151*H151</f>
        <v>0</v>
      </c>
      <c r="AR151" s="140" t="s">
        <v>185</v>
      </c>
      <c r="AT151" s="140" t="s">
        <v>180</v>
      </c>
      <c r="AU151" s="140" t="s">
        <v>87</v>
      </c>
      <c r="AY151" s="18" t="s">
        <v>177</v>
      </c>
      <c r="BE151" s="141">
        <f>IF(N151="základní",J151,0)</f>
        <v>0</v>
      </c>
      <c r="BF151" s="141">
        <f>IF(N151="snížená",J151,0)</f>
        <v>0</v>
      </c>
      <c r="BG151" s="141">
        <f>IF(N151="zákl. přenesená",J151,0)</f>
        <v>0</v>
      </c>
      <c r="BH151" s="141">
        <f>IF(N151="sníž. přenesená",J151,0)</f>
        <v>0</v>
      </c>
      <c r="BI151" s="141">
        <f>IF(N151="nulová",J151,0)</f>
        <v>0</v>
      </c>
      <c r="BJ151" s="18" t="s">
        <v>85</v>
      </c>
      <c r="BK151" s="141">
        <f>ROUND(I151*H151,2)</f>
        <v>0</v>
      </c>
      <c r="BL151" s="18" t="s">
        <v>185</v>
      </c>
      <c r="BM151" s="140" t="s">
        <v>1766</v>
      </c>
    </row>
    <row r="152" spans="2:47" s="1" customFormat="1" ht="29.25">
      <c r="B152" s="33"/>
      <c r="D152" s="142" t="s">
        <v>187</v>
      </c>
      <c r="F152" s="143" t="s">
        <v>1767</v>
      </c>
      <c r="I152" s="144"/>
      <c r="L152" s="33"/>
      <c r="M152" s="145"/>
      <c r="T152" s="54"/>
      <c r="AT152" s="18" t="s">
        <v>187</v>
      </c>
      <c r="AU152" s="18" t="s">
        <v>87</v>
      </c>
    </row>
    <row r="153" spans="2:47" s="1" customFormat="1" ht="11.25">
      <c r="B153" s="33"/>
      <c r="D153" s="146" t="s">
        <v>189</v>
      </c>
      <c r="F153" s="147" t="s">
        <v>1768</v>
      </c>
      <c r="I153" s="144"/>
      <c r="L153" s="33"/>
      <c r="M153" s="145"/>
      <c r="T153" s="54"/>
      <c r="AT153" s="18" t="s">
        <v>189</v>
      </c>
      <c r="AU153" s="18" t="s">
        <v>87</v>
      </c>
    </row>
    <row r="154" spans="2:47" s="1" customFormat="1" ht="195">
      <c r="B154" s="33"/>
      <c r="D154" s="142" t="s">
        <v>191</v>
      </c>
      <c r="F154" s="148" t="s">
        <v>1769</v>
      </c>
      <c r="I154" s="144"/>
      <c r="L154" s="33"/>
      <c r="M154" s="145"/>
      <c r="T154" s="54"/>
      <c r="AT154" s="18" t="s">
        <v>191</v>
      </c>
      <c r="AU154" s="18" t="s">
        <v>87</v>
      </c>
    </row>
    <row r="155" spans="2:65" s="1" customFormat="1" ht="24.2" customHeight="1">
      <c r="B155" s="128"/>
      <c r="C155" s="179" t="s">
        <v>277</v>
      </c>
      <c r="D155" s="179" t="s">
        <v>484</v>
      </c>
      <c r="E155" s="180" t="s">
        <v>1770</v>
      </c>
      <c r="F155" s="181" t="s">
        <v>1771</v>
      </c>
      <c r="G155" s="182" t="s">
        <v>236</v>
      </c>
      <c r="H155" s="183">
        <v>5</v>
      </c>
      <c r="I155" s="184"/>
      <c r="J155" s="185">
        <f>ROUND(I155*H155,2)</f>
        <v>0</v>
      </c>
      <c r="K155" s="181" t="s">
        <v>184</v>
      </c>
      <c r="L155" s="186"/>
      <c r="M155" s="187" t="s">
        <v>3</v>
      </c>
      <c r="N155" s="188" t="s">
        <v>48</v>
      </c>
      <c r="P155" s="138">
        <f>O155*H155</f>
        <v>0</v>
      </c>
      <c r="Q155" s="138">
        <v>0.01225</v>
      </c>
      <c r="R155" s="138">
        <f>Q155*H155</f>
        <v>0.06125</v>
      </c>
      <c r="S155" s="138">
        <v>0</v>
      </c>
      <c r="T155" s="139">
        <f>S155*H155</f>
        <v>0</v>
      </c>
      <c r="AR155" s="140" t="s">
        <v>248</v>
      </c>
      <c r="AT155" s="140" t="s">
        <v>484</v>
      </c>
      <c r="AU155" s="140" t="s">
        <v>87</v>
      </c>
      <c r="AY155" s="18" t="s">
        <v>177</v>
      </c>
      <c r="BE155" s="141">
        <f>IF(N155="základní",J155,0)</f>
        <v>0</v>
      </c>
      <c r="BF155" s="141">
        <f>IF(N155="snížená",J155,0)</f>
        <v>0</v>
      </c>
      <c r="BG155" s="141">
        <f>IF(N155="zákl. přenesená",J155,0)</f>
        <v>0</v>
      </c>
      <c r="BH155" s="141">
        <f>IF(N155="sníž. přenesená",J155,0)</f>
        <v>0</v>
      </c>
      <c r="BI155" s="141">
        <f>IF(N155="nulová",J155,0)</f>
        <v>0</v>
      </c>
      <c r="BJ155" s="18" t="s">
        <v>85</v>
      </c>
      <c r="BK155" s="141">
        <f>ROUND(I155*H155,2)</f>
        <v>0</v>
      </c>
      <c r="BL155" s="18" t="s">
        <v>185</v>
      </c>
      <c r="BM155" s="140" t="s">
        <v>1772</v>
      </c>
    </row>
    <row r="156" spans="2:47" s="1" customFormat="1" ht="19.5">
      <c r="B156" s="33"/>
      <c r="D156" s="142" t="s">
        <v>187</v>
      </c>
      <c r="F156" s="143" t="s">
        <v>1771</v>
      </c>
      <c r="I156" s="144"/>
      <c r="L156" s="33"/>
      <c r="M156" s="145"/>
      <c r="T156" s="54"/>
      <c r="AT156" s="18" t="s">
        <v>187</v>
      </c>
      <c r="AU156" s="18" t="s">
        <v>87</v>
      </c>
    </row>
    <row r="157" spans="2:65" s="1" customFormat="1" ht="24.2" customHeight="1">
      <c r="B157" s="128"/>
      <c r="C157" s="179" t="s">
        <v>283</v>
      </c>
      <c r="D157" s="179" t="s">
        <v>484</v>
      </c>
      <c r="E157" s="180" t="s">
        <v>1773</v>
      </c>
      <c r="F157" s="181" t="s">
        <v>1774</v>
      </c>
      <c r="G157" s="182" t="s">
        <v>236</v>
      </c>
      <c r="H157" s="183">
        <v>2</v>
      </c>
      <c r="I157" s="184"/>
      <c r="J157" s="185">
        <f>ROUND(I157*H157,2)</f>
        <v>0</v>
      </c>
      <c r="K157" s="181" t="s">
        <v>1775</v>
      </c>
      <c r="L157" s="186"/>
      <c r="M157" s="187" t="s">
        <v>3</v>
      </c>
      <c r="N157" s="188" t="s">
        <v>48</v>
      </c>
      <c r="P157" s="138">
        <f>O157*H157</f>
        <v>0</v>
      </c>
      <c r="Q157" s="138">
        <v>0.01489</v>
      </c>
      <c r="R157" s="138">
        <f>Q157*H157</f>
        <v>0.02978</v>
      </c>
      <c r="S157" s="138">
        <v>0</v>
      </c>
      <c r="T157" s="139">
        <f>S157*H157</f>
        <v>0</v>
      </c>
      <c r="AR157" s="140" t="s">
        <v>248</v>
      </c>
      <c r="AT157" s="140" t="s">
        <v>484</v>
      </c>
      <c r="AU157" s="140" t="s">
        <v>87</v>
      </c>
      <c r="AY157" s="18" t="s">
        <v>177</v>
      </c>
      <c r="BE157" s="141">
        <f>IF(N157="základní",J157,0)</f>
        <v>0</v>
      </c>
      <c r="BF157" s="141">
        <f>IF(N157="snížená",J157,0)</f>
        <v>0</v>
      </c>
      <c r="BG157" s="141">
        <f>IF(N157="zákl. přenesená",J157,0)</f>
        <v>0</v>
      </c>
      <c r="BH157" s="141">
        <f>IF(N157="sníž. přenesená",J157,0)</f>
        <v>0</v>
      </c>
      <c r="BI157" s="141">
        <f>IF(N157="nulová",J157,0)</f>
        <v>0</v>
      </c>
      <c r="BJ157" s="18" t="s">
        <v>85</v>
      </c>
      <c r="BK157" s="141">
        <f>ROUND(I157*H157,2)</f>
        <v>0</v>
      </c>
      <c r="BL157" s="18" t="s">
        <v>185</v>
      </c>
      <c r="BM157" s="140" t="s">
        <v>1776</v>
      </c>
    </row>
    <row r="158" spans="2:47" s="1" customFormat="1" ht="19.5">
      <c r="B158" s="33"/>
      <c r="D158" s="142" t="s">
        <v>187</v>
      </c>
      <c r="F158" s="143" t="s">
        <v>1774</v>
      </c>
      <c r="I158" s="144"/>
      <c r="L158" s="33"/>
      <c r="M158" s="145"/>
      <c r="T158" s="54"/>
      <c r="AT158" s="18" t="s">
        <v>187</v>
      </c>
      <c r="AU158" s="18" t="s">
        <v>87</v>
      </c>
    </row>
    <row r="159" spans="2:65" s="1" customFormat="1" ht="24.2" customHeight="1">
      <c r="B159" s="128"/>
      <c r="C159" s="179" t="s">
        <v>9</v>
      </c>
      <c r="D159" s="179" t="s">
        <v>484</v>
      </c>
      <c r="E159" s="180" t="s">
        <v>1777</v>
      </c>
      <c r="F159" s="181" t="s">
        <v>1778</v>
      </c>
      <c r="G159" s="182" t="s">
        <v>236</v>
      </c>
      <c r="H159" s="183">
        <v>1</v>
      </c>
      <c r="I159" s="184"/>
      <c r="J159" s="185">
        <f>ROUND(I159*H159,2)</f>
        <v>0</v>
      </c>
      <c r="K159" s="181" t="s">
        <v>1775</v>
      </c>
      <c r="L159" s="186"/>
      <c r="M159" s="187" t="s">
        <v>3</v>
      </c>
      <c r="N159" s="188" t="s">
        <v>48</v>
      </c>
      <c r="P159" s="138">
        <f>O159*H159</f>
        <v>0</v>
      </c>
      <c r="Q159" s="138">
        <v>0.01272</v>
      </c>
      <c r="R159" s="138">
        <f>Q159*H159</f>
        <v>0.01272</v>
      </c>
      <c r="S159" s="138">
        <v>0</v>
      </c>
      <c r="T159" s="139">
        <f>S159*H159</f>
        <v>0</v>
      </c>
      <c r="AR159" s="140" t="s">
        <v>248</v>
      </c>
      <c r="AT159" s="140" t="s">
        <v>484</v>
      </c>
      <c r="AU159" s="140" t="s">
        <v>87</v>
      </c>
      <c r="AY159" s="18" t="s">
        <v>177</v>
      </c>
      <c r="BE159" s="141">
        <f>IF(N159="základní",J159,0)</f>
        <v>0</v>
      </c>
      <c r="BF159" s="141">
        <f>IF(N159="snížená",J159,0)</f>
        <v>0</v>
      </c>
      <c r="BG159" s="141">
        <f>IF(N159="zákl. přenesená",J159,0)</f>
        <v>0</v>
      </c>
      <c r="BH159" s="141">
        <f>IF(N159="sníž. přenesená",J159,0)</f>
        <v>0</v>
      </c>
      <c r="BI159" s="141">
        <f>IF(N159="nulová",J159,0)</f>
        <v>0</v>
      </c>
      <c r="BJ159" s="18" t="s">
        <v>85</v>
      </c>
      <c r="BK159" s="141">
        <f>ROUND(I159*H159,2)</f>
        <v>0</v>
      </c>
      <c r="BL159" s="18" t="s">
        <v>185</v>
      </c>
      <c r="BM159" s="140" t="s">
        <v>1779</v>
      </c>
    </row>
    <row r="160" spans="2:47" s="1" customFormat="1" ht="19.5">
      <c r="B160" s="33"/>
      <c r="D160" s="142" t="s">
        <v>187</v>
      </c>
      <c r="F160" s="143" t="s">
        <v>1778</v>
      </c>
      <c r="I160" s="144"/>
      <c r="L160" s="33"/>
      <c r="M160" s="145"/>
      <c r="T160" s="54"/>
      <c r="AT160" s="18" t="s">
        <v>187</v>
      </c>
      <c r="AU160" s="18" t="s">
        <v>87</v>
      </c>
    </row>
    <row r="161" spans="2:65" s="1" customFormat="1" ht="24.2" customHeight="1">
      <c r="B161" s="128"/>
      <c r="C161" s="129" t="s">
        <v>237</v>
      </c>
      <c r="D161" s="129" t="s">
        <v>180</v>
      </c>
      <c r="E161" s="130" t="s">
        <v>1780</v>
      </c>
      <c r="F161" s="131" t="s">
        <v>1781</v>
      </c>
      <c r="G161" s="132" t="s">
        <v>236</v>
      </c>
      <c r="H161" s="133">
        <v>4</v>
      </c>
      <c r="I161" s="134"/>
      <c r="J161" s="135">
        <f>ROUND(I161*H161,2)</f>
        <v>0</v>
      </c>
      <c r="K161" s="131" t="s">
        <v>184</v>
      </c>
      <c r="L161" s="33"/>
      <c r="M161" s="136" t="s">
        <v>3</v>
      </c>
      <c r="N161" s="137" t="s">
        <v>48</v>
      </c>
      <c r="P161" s="138">
        <f>O161*H161</f>
        <v>0</v>
      </c>
      <c r="Q161" s="138">
        <v>0.54769076</v>
      </c>
      <c r="R161" s="138">
        <f>Q161*H161</f>
        <v>2.19076304</v>
      </c>
      <c r="S161" s="138">
        <v>0</v>
      </c>
      <c r="T161" s="139">
        <f>S161*H161</f>
        <v>0</v>
      </c>
      <c r="AR161" s="140" t="s">
        <v>185</v>
      </c>
      <c r="AT161" s="140" t="s">
        <v>180</v>
      </c>
      <c r="AU161" s="140" t="s">
        <v>87</v>
      </c>
      <c r="AY161" s="18" t="s">
        <v>177</v>
      </c>
      <c r="BE161" s="141">
        <f>IF(N161="základní",J161,0)</f>
        <v>0</v>
      </c>
      <c r="BF161" s="141">
        <f>IF(N161="snížená",J161,0)</f>
        <v>0</v>
      </c>
      <c r="BG161" s="141">
        <f>IF(N161="zákl. přenesená",J161,0)</f>
        <v>0</v>
      </c>
      <c r="BH161" s="141">
        <f>IF(N161="sníž. přenesená",J161,0)</f>
        <v>0</v>
      </c>
      <c r="BI161" s="141">
        <f>IF(N161="nulová",J161,0)</f>
        <v>0</v>
      </c>
      <c r="BJ161" s="18" t="s">
        <v>85</v>
      </c>
      <c r="BK161" s="141">
        <f>ROUND(I161*H161,2)</f>
        <v>0</v>
      </c>
      <c r="BL161" s="18" t="s">
        <v>185</v>
      </c>
      <c r="BM161" s="140" t="s">
        <v>1782</v>
      </c>
    </row>
    <row r="162" spans="2:47" s="1" customFormat="1" ht="29.25">
      <c r="B162" s="33"/>
      <c r="D162" s="142" t="s">
        <v>187</v>
      </c>
      <c r="F162" s="143" t="s">
        <v>1783</v>
      </c>
      <c r="I162" s="144"/>
      <c r="L162" s="33"/>
      <c r="M162" s="145"/>
      <c r="T162" s="54"/>
      <c r="AT162" s="18" t="s">
        <v>187</v>
      </c>
      <c r="AU162" s="18" t="s">
        <v>87</v>
      </c>
    </row>
    <row r="163" spans="2:47" s="1" customFormat="1" ht="11.25">
      <c r="B163" s="33"/>
      <c r="D163" s="146" t="s">
        <v>189</v>
      </c>
      <c r="F163" s="147" t="s">
        <v>1784</v>
      </c>
      <c r="I163" s="144"/>
      <c r="L163" s="33"/>
      <c r="M163" s="145"/>
      <c r="T163" s="54"/>
      <c r="AT163" s="18" t="s">
        <v>189</v>
      </c>
      <c r="AU163" s="18" t="s">
        <v>87</v>
      </c>
    </row>
    <row r="164" spans="2:47" s="1" customFormat="1" ht="146.25">
      <c r="B164" s="33"/>
      <c r="D164" s="142" t="s">
        <v>191</v>
      </c>
      <c r="F164" s="148" t="s">
        <v>1785</v>
      </c>
      <c r="I164" s="144"/>
      <c r="L164" s="33"/>
      <c r="M164" s="145"/>
      <c r="T164" s="54"/>
      <c r="AT164" s="18" t="s">
        <v>191</v>
      </c>
      <c r="AU164" s="18" t="s">
        <v>87</v>
      </c>
    </row>
    <row r="165" spans="2:51" s="12" customFormat="1" ht="11.25">
      <c r="B165" s="149"/>
      <c r="D165" s="142" t="s">
        <v>193</v>
      </c>
      <c r="E165" s="150" t="s">
        <v>3</v>
      </c>
      <c r="F165" s="151" t="s">
        <v>198</v>
      </c>
      <c r="H165" s="152">
        <v>3</v>
      </c>
      <c r="I165" s="153"/>
      <c r="L165" s="149"/>
      <c r="M165" s="154"/>
      <c r="T165" s="155"/>
      <c r="AT165" s="150" t="s">
        <v>193</v>
      </c>
      <c r="AU165" s="150" t="s">
        <v>87</v>
      </c>
      <c r="AV165" s="12" t="s">
        <v>87</v>
      </c>
      <c r="AW165" s="12" t="s">
        <v>36</v>
      </c>
      <c r="AX165" s="12" t="s">
        <v>77</v>
      </c>
      <c r="AY165" s="150" t="s">
        <v>177</v>
      </c>
    </row>
    <row r="166" spans="2:51" s="13" customFormat="1" ht="11.25">
      <c r="B166" s="156"/>
      <c r="D166" s="142" t="s">
        <v>193</v>
      </c>
      <c r="E166" s="157" t="s">
        <v>3</v>
      </c>
      <c r="F166" s="158" t="s">
        <v>1786</v>
      </c>
      <c r="H166" s="157" t="s">
        <v>3</v>
      </c>
      <c r="I166" s="159"/>
      <c r="L166" s="156"/>
      <c r="M166" s="160"/>
      <c r="T166" s="161"/>
      <c r="AT166" s="157" t="s">
        <v>193</v>
      </c>
      <c r="AU166" s="157" t="s">
        <v>87</v>
      </c>
      <c r="AV166" s="13" t="s">
        <v>85</v>
      </c>
      <c r="AW166" s="13" t="s">
        <v>36</v>
      </c>
      <c r="AX166" s="13" t="s">
        <v>77</v>
      </c>
      <c r="AY166" s="157" t="s">
        <v>177</v>
      </c>
    </row>
    <row r="167" spans="2:51" s="12" customFormat="1" ht="11.25">
      <c r="B167" s="149"/>
      <c r="D167" s="142" t="s">
        <v>193</v>
      </c>
      <c r="E167" s="150" t="s">
        <v>3</v>
      </c>
      <c r="F167" s="151" t="s">
        <v>85</v>
      </c>
      <c r="H167" s="152">
        <v>1</v>
      </c>
      <c r="I167" s="153"/>
      <c r="L167" s="149"/>
      <c r="M167" s="154"/>
      <c r="T167" s="155"/>
      <c r="AT167" s="150" t="s">
        <v>193</v>
      </c>
      <c r="AU167" s="150" t="s">
        <v>87</v>
      </c>
      <c r="AV167" s="12" t="s">
        <v>87</v>
      </c>
      <c r="AW167" s="12" t="s">
        <v>36</v>
      </c>
      <c r="AX167" s="12" t="s">
        <v>77</v>
      </c>
      <c r="AY167" s="150" t="s">
        <v>177</v>
      </c>
    </row>
    <row r="168" spans="2:51" s="15" customFormat="1" ht="11.25">
      <c r="B168" s="169"/>
      <c r="D168" s="142" t="s">
        <v>193</v>
      </c>
      <c r="E168" s="170" t="s">
        <v>3</v>
      </c>
      <c r="F168" s="171" t="s">
        <v>201</v>
      </c>
      <c r="H168" s="172">
        <v>4</v>
      </c>
      <c r="I168" s="173"/>
      <c r="L168" s="169"/>
      <c r="M168" s="174"/>
      <c r="T168" s="175"/>
      <c r="AT168" s="170" t="s">
        <v>193</v>
      </c>
      <c r="AU168" s="170" t="s">
        <v>87</v>
      </c>
      <c r="AV168" s="15" t="s">
        <v>185</v>
      </c>
      <c r="AW168" s="15" t="s">
        <v>36</v>
      </c>
      <c r="AX168" s="15" t="s">
        <v>85</v>
      </c>
      <c r="AY168" s="170" t="s">
        <v>177</v>
      </c>
    </row>
    <row r="169" spans="2:65" s="1" customFormat="1" ht="37.9" customHeight="1">
      <c r="B169" s="128"/>
      <c r="C169" s="179" t="s">
        <v>302</v>
      </c>
      <c r="D169" s="179" t="s">
        <v>484</v>
      </c>
      <c r="E169" s="180" t="s">
        <v>1787</v>
      </c>
      <c r="F169" s="181" t="s">
        <v>1788</v>
      </c>
      <c r="G169" s="182" t="s">
        <v>236</v>
      </c>
      <c r="H169" s="183">
        <v>3</v>
      </c>
      <c r="I169" s="184"/>
      <c r="J169" s="185">
        <f>ROUND(I169*H169,2)</f>
        <v>0</v>
      </c>
      <c r="K169" s="181" t="s">
        <v>244</v>
      </c>
      <c r="L169" s="186"/>
      <c r="M169" s="187" t="s">
        <v>3</v>
      </c>
      <c r="N169" s="188" t="s">
        <v>48</v>
      </c>
      <c r="P169" s="138">
        <f>O169*H169</f>
        <v>0</v>
      </c>
      <c r="Q169" s="138">
        <v>0.029</v>
      </c>
      <c r="R169" s="138">
        <f>Q169*H169</f>
        <v>0.08700000000000001</v>
      </c>
      <c r="S169" s="138">
        <v>0</v>
      </c>
      <c r="T169" s="139">
        <f>S169*H169</f>
        <v>0</v>
      </c>
      <c r="AR169" s="140" t="s">
        <v>248</v>
      </c>
      <c r="AT169" s="140" t="s">
        <v>484</v>
      </c>
      <c r="AU169" s="140" t="s">
        <v>87</v>
      </c>
      <c r="AY169" s="18" t="s">
        <v>177</v>
      </c>
      <c r="BE169" s="141">
        <f>IF(N169="základní",J169,0)</f>
        <v>0</v>
      </c>
      <c r="BF169" s="141">
        <f>IF(N169="snížená",J169,0)</f>
        <v>0</v>
      </c>
      <c r="BG169" s="141">
        <f>IF(N169="zákl. přenesená",J169,0)</f>
        <v>0</v>
      </c>
      <c r="BH169" s="141">
        <f>IF(N169="sníž. přenesená",J169,0)</f>
        <v>0</v>
      </c>
      <c r="BI169" s="141">
        <f>IF(N169="nulová",J169,0)</f>
        <v>0</v>
      </c>
      <c r="BJ169" s="18" t="s">
        <v>85</v>
      </c>
      <c r="BK169" s="141">
        <f>ROUND(I169*H169,2)</f>
        <v>0</v>
      </c>
      <c r="BL169" s="18" t="s">
        <v>185</v>
      </c>
      <c r="BM169" s="140" t="s">
        <v>1789</v>
      </c>
    </row>
    <row r="170" spans="2:47" s="1" customFormat="1" ht="19.5">
      <c r="B170" s="33"/>
      <c r="D170" s="142" t="s">
        <v>187</v>
      </c>
      <c r="F170" s="143" t="s">
        <v>1790</v>
      </c>
      <c r="I170" s="144"/>
      <c r="L170" s="33"/>
      <c r="M170" s="145"/>
      <c r="T170" s="54"/>
      <c r="AT170" s="18" t="s">
        <v>187</v>
      </c>
      <c r="AU170" s="18" t="s">
        <v>87</v>
      </c>
    </row>
    <row r="171" spans="2:63" s="11" customFormat="1" ht="22.9" customHeight="1">
      <c r="B171" s="116"/>
      <c r="D171" s="117" t="s">
        <v>76</v>
      </c>
      <c r="E171" s="126" t="s">
        <v>252</v>
      </c>
      <c r="F171" s="126" t="s">
        <v>329</v>
      </c>
      <c r="I171" s="119"/>
      <c r="J171" s="127">
        <f>BK171</f>
        <v>0</v>
      </c>
      <c r="L171" s="116"/>
      <c r="M171" s="121"/>
      <c r="P171" s="122">
        <f>SUM(P172:P181)</f>
        <v>0</v>
      </c>
      <c r="R171" s="122">
        <f>SUM(R172:R181)</f>
        <v>0.054251999999999995</v>
      </c>
      <c r="T171" s="123">
        <f>SUM(T172:T181)</f>
        <v>0</v>
      </c>
      <c r="AR171" s="117" t="s">
        <v>85</v>
      </c>
      <c r="AT171" s="124" t="s">
        <v>76</v>
      </c>
      <c r="AU171" s="124" t="s">
        <v>85</v>
      </c>
      <c r="AY171" s="117" t="s">
        <v>177</v>
      </c>
      <c r="BK171" s="125">
        <f>SUM(BK172:BK181)</f>
        <v>0</v>
      </c>
    </row>
    <row r="172" spans="2:65" s="1" customFormat="1" ht="33" customHeight="1">
      <c r="B172" s="128"/>
      <c r="C172" s="129" t="s">
        <v>315</v>
      </c>
      <c r="D172" s="129" t="s">
        <v>180</v>
      </c>
      <c r="E172" s="130" t="s">
        <v>681</v>
      </c>
      <c r="F172" s="131" t="s">
        <v>682</v>
      </c>
      <c r="G172" s="132" t="s">
        <v>332</v>
      </c>
      <c r="H172" s="133">
        <v>328.8</v>
      </c>
      <c r="I172" s="134"/>
      <c r="J172" s="135">
        <f>ROUND(I172*H172,2)</f>
        <v>0</v>
      </c>
      <c r="K172" s="131" t="s">
        <v>184</v>
      </c>
      <c r="L172" s="33"/>
      <c r="M172" s="136" t="s">
        <v>3</v>
      </c>
      <c r="N172" s="137" t="s">
        <v>48</v>
      </c>
      <c r="P172" s="138">
        <f>O172*H172</f>
        <v>0</v>
      </c>
      <c r="Q172" s="138">
        <v>0.00013</v>
      </c>
      <c r="R172" s="138">
        <f>Q172*H172</f>
        <v>0.042744</v>
      </c>
      <c r="S172" s="138">
        <v>0</v>
      </c>
      <c r="T172" s="139">
        <f>S172*H172</f>
        <v>0</v>
      </c>
      <c r="AR172" s="140" t="s">
        <v>185</v>
      </c>
      <c r="AT172" s="140" t="s">
        <v>180</v>
      </c>
      <c r="AU172" s="140" t="s">
        <v>87</v>
      </c>
      <c r="AY172" s="18" t="s">
        <v>177</v>
      </c>
      <c r="BE172" s="141">
        <f>IF(N172="základní",J172,0)</f>
        <v>0</v>
      </c>
      <c r="BF172" s="141">
        <f>IF(N172="snížená",J172,0)</f>
        <v>0</v>
      </c>
      <c r="BG172" s="141">
        <f>IF(N172="zákl. přenesená",J172,0)</f>
        <v>0</v>
      </c>
      <c r="BH172" s="141">
        <f>IF(N172="sníž. přenesená",J172,0)</f>
        <v>0</v>
      </c>
      <c r="BI172" s="141">
        <f>IF(N172="nulová",J172,0)</f>
        <v>0</v>
      </c>
      <c r="BJ172" s="18" t="s">
        <v>85</v>
      </c>
      <c r="BK172" s="141">
        <f>ROUND(I172*H172,2)</f>
        <v>0</v>
      </c>
      <c r="BL172" s="18" t="s">
        <v>185</v>
      </c>
      <c r="BM172" s="140" t="s">
        <v>1791</v>
      </c>
    </row>
    <row r="173" spans="2:47" s="1" customFormat="1" ht="19.5">
      <c r="B173" s="33"/>
      <c r="D173" s="142" t="s">
        <v>187</v>
      </c>
      <c r="F173" s="143" t="s">
        <v>684</v>
      </c>
      <c r="I173" s="144"/>
      <c r="L173" s="33"/>
      <c r="M173" s="145"/>
      <c r="T173" s="54"/>
      <c r="AT173" s="18" t="s">
        <v>187</v>
      </c>
      <c r="AU173" s="18" t="s">
        <v>87</v>
      </c>
    </row>
    <row r="174" spans="2:47" s="1" customFormat="1" ht="11.25">
      <c r="B174" s="33"/>
      <c r="D174" s="146" t="s">
        <v>189</v>
      </c>
      <c r="F174" s="147" t="s">
        <v>685</v>
      </c>
      <c r="I174" s="144"/>
      <c r="L174" s="33"/>
      <c r="M174" s="145"/>
      <c r="T174" s="54"/>
      <c r="AT174" s="18" t="s">
        <v>189</v>
      </c>
      <c r="AU174" s="18" t="s">
        <v>87</v>
      </c>
    </row>
    <row r="175" spans="2:47" s="1" customFormat="1" ht="78">
      <c r="B175" s="33"/>
      <c r="D175" s="142" t="s">
        <v>191</v>
      </c>
      <c r="F175" s="148" t="s">
        <v>336</v>
      </c>
      <c r="I175" s="144"/>
      <c r="L175" s="33"/>
      <c r="M175" s="145"/>
      <c r="T175" s="54"/>
      <c r="AT175" s="18" t="s">
        <v>191</v>
      </c>
      <c r="AU175" s="18" t="s">
        <v>87</v>
      </c>
    </row>
    <row r="176" spans="2:51" s="12" customFormat="1" ht="11.25">
      <c r="B176" s="149"/>
      <c r="D176" s="142" t="s">
        <v>193</v>
      </c>
      <c r="E176" s="150" t="s">
        <v>3</v>
      </c>
      <c r="F176" s="151" t="s">
        <v>993</v>
      </c>
      <c r="H176" s="152">
        <v>328.8</v>
      </c>
      <c r="I176" s="153"/>
      <c r="L176" s="149"/>
      <c r="M176" s="154"/>
      <c r="T176" s="155"/>
      <c r="AT176" s="150" t="s">
        <v>193</v>
      </c>
      <c r="AU176" s="150" t="s">
        <v>87</v>
      </c>
      <c r="AV176" s="12" t="s">
        <v>87</v>
      </c>
      <c r="AW176" s="12" t="s">
        <v>36</v>
      </c>
      <c r="AX176" s="12" t="s">
        <v>77</v>
      </c>
      <c r="AY176" s="150" t="s">
        <v>177</v>
      </c>
    </row>
    <row r="177" spans="2:51" s="15" customFormat="1" ht="11.25">
      <c r="B177" s="169"/>
      <c r="D177" s="142" t="s">
        <v>193</v>
      </c>
      <c r="E177" s="170" t="s">
        <v>3</v>
      </c>
      <c r="F177" s="171" t="s">
        <v>201</v>
      </c>
      <c r="H177" s="172">
        <v>328.8</v>
      </c>
      <c r="I177" s="173"/>
      <c r="L177" s="169"/>
      <c r="M177" s="174"/>
      <c r="T177" s="175"/>
      <c r="AT177" s="170" t="s">
        <v>193</v>
      </c>
      <c r="AU177" s="170" t="s">
        <v>87</v>
      </c>
      <c r="AV177" s="15" t="s">
        <v>185</v>
      </c>
      <c r="AW177" s="15" t="s">
        <v>36</v>
      </c>
      <c r="AX177" s="15" t="s">
        <v>85</v>
      </c>
      <c r="AY177" s="170" t="s">
        <v>177</v>
      </c>
    </row>
    <row r="178" spans="2:65" s="1" customFormat="1" ht="24.2" customHeight="1">
      <c r="B178" s="128"/>
      <c r="C178" s="129" t="s">
        <v>461</v>
      </c>
      <c r="D178" s="129" t="s">
        <v>180</v>
      </c>
      <c r="E178" s="130" t="s">
        <v>339</v>
      </c>
      <c r="F178" s="131" t="s">
        <v>340</v>
      </c>
      <c r="G178" s="132" t="s">
        <v>332</v>
      </c>
      <c r="H178" s="133">
        <v>328.8</v>
      </c>
      <c r="I178" s="134"/>
      <c r="J178" s="135">
        <f>ROUND(I178*H178,2)</f>
        <v>0</v>
      </c>
      <c r="K178" s="131" t="s">
        <v>184</v>
      </c>
      <c r="L178" s="33"/>
      <c r="M178" s="136" t="s">
        <v>3</v>
      </c>
      <c r="N178" s="137" t="s">
        <v>48</v>
      </c>
      <c r="P178" s="138">
        <f>O178*H178</f>
        <v>0</v>
      </c>
      <c r="Q178" s="138">
        <v>3.5E-05</v>
      </c>
      <c r="R178" s="138">
        <f>Q178*H178</f>
        <v>0.011508</v>
      </c>
      <c r="S178" s="138">
        <v>0</v>
      </c>
      <c r="T178" s="139">
        <f>S178*H178</f>
        <v>0</v>
      </c>
      <c r="AR178" s="140" t="s">
        <v>185</v>
      </c>
      <c r="AT178" s="140" t="s">
        <v>180</v>
      </c>
      <c r="AU178" s="140" t="s">
        <v>87</v>
      </c>
      <c r="AY178" s="18" t="s">
        <v>177</v>
      </c>
      <c r="BE178" s="141">
        <f>IF(N178="základní",J178,0)</f>
        <v>0</v>
      </c>
      <c r="BF178" s="141">
        <f>IF(N178="snížená",J178,0)</f>
        <v>0</v>
      </c>
      <c r="BG178" s="141">
        <f>IF(N178="zákl. přenesená",J178,0)</f>
        <v>0</v>
      </c>
      <c r="BH178" s="141">
        <f>IF(N178="sníž. přenesená",J178,0)</f>
        <v>0</v>
      </c>
      <c r="BI178" s="141">
        <f>IF(N178="nulová",J178,0)</f>
        <v>0</v>
      </c>
      <c r="BJ178" s="18" t="s">
        <v>85</v>
      </c>
      <c r="BK178" s="141">
        <f>ROUND(I178*H178,2)</f>
        <v>0</v>
      </c>
      <c r="BL178" s="18" t="s">
        <v>185</v>
      </c>
      <c r="BM178" s="140" t="s">
        <v>1792</v>
      </c>
    </row>
    <row r="179" spans="2:47" s="1" customFormat="1" ht="19.5">
      <c r="B179" s="33"/>
      <c r="D179" s="142" t="s">
        <v>187</v>
      </c>
      <c r="F179" s="143" t="s">
        <v>342</v>
      </c>
      <c r="I179" s="144"/>
      <c r="L179" s="33"/>
      <c r="M179" s="145"/>
      <c r="T179" s="54"/>
      <c r="AT179" s="18" t="s">
        <v>187</v>
      </c>
      <c r="AU179" s="18" t="s">
        <v>87</v>
      </c>
    </row>
    <row r="180" spans="2:47" s="1" customFormat="1" ht="11.25">
      <c r="B180" s="33"/>
      <c r="D180" s="146" t="s">
        <v>189</v>
      </c>
      <c r="F180" s="147" t="s">
        <v>343</v>
      </c>
      <c r="I180" s="144"/>
      <c r="L180" s="33"/>
      <c r="M180" s="145"/>
      <c r="T180" s="54"/>
      <c r="AT180" s="18" t="s">
        <v>189</v>
      </c>
      <c r="AU180" s="18" t="s">
        <v>87</v>
      </c>
    </row>
    <row r="181" spans="2:47" s="1" customFormat="1" ht="273">
      <c r="B181" s="33"/>
      <c r="D181" s="142" t="s">
        <v>191</v>
      </c>
      <c r="F181" s="148" t="s">
        <v>344</v>
      </c>
      <c r="I181" s="144"/>
      <c r="L181" s="33"/>
      <c r="M181" s="145"/>
      <c r="T181" s="54"/>
      <c r="AT181" s="18" t="s">
        <v>191</v>
      </c>
      <c r="AU181" s="18" t="s">
        <v>87</v>
      </c>
    </row>
    <row r="182" spans="2:63" s="11" customFormat="1" ht="22.9" customHeight="1">
      <c r="B182" s="116"/>
      <c r="D182" s="117" t="s">
        <v>76</v>
      </c>
      <c r="E182" s="126" t="s">
        <v>518</v>
      </c>
      <c r="F182" s="126" t="s">
        <v>519</v>
      </c>
      <c r="I182" s="119"/>
      <c r="J182" s="127">
        <f>BK182</f>
        <v>0</v>
      </c>
      <c r="L182" s="116"/>
      <c r="M182" s="121"/>
      <c r="P182" s="122">
        <f>SUM(P183:P186)</f>
        <v>0</v>
      </c>
      <c r="R182" s="122">
        <f>SUM(R183:R186)</f>
        <v>0</v>
      </c>
      <c r="T182" s="123">
        <f>SUM(T183:T186)</f>
        <v>0</v>
      </c>
      <c r="AR182" s="117" t="s">
        <v>85</v>
      </c>
      <c r="AT182" s="124" t="s">
        <v>76</v>
      </c>
      <c r="AU182" s="124" t="s">
        <v>85</v>
      </c>
      <c r="AY182" s="117" t="s">
        <v>177</v>
      </c>
      <c r="BK182" s="125">
        <f>SUM(BK183:BK186)</f>
        <v>0</v>
      </c>
    </row>
    <row r="183" spans="2:65" s="1" customFormat="1" ht="21.75" customHeight="1">
      <c r="B183" s="128"/>
      <c r="C183" s="129" t="s">
        <v>467</v>
      </c>
      <c r="D183" s="129" t="s">
        <v>180</v>
      </c>
      <c r="E183" s="130" t="s">
        <v>521</v>
      </c>
      <c r="F183" s="131" t="s">
        <v>522</v>
      </c>
      <c r="G183" s="132" t="s">
        <v>183</v>
      </c>
      <c r="H183" s="133">
        <v>48.059</v>
      </c>
      <c r="I183" s="134"/>
      <c r="J183" s="135">
        <f>ROUND(I183*H183,2)</f>
        <v>0</v>
      </c>
      <c r="K183" s="131" t="s">
        <v>184</v>
      </c>
      <c r="L183" s="33"/>
      <c r="M183" s="136" t="s">
        <v>3</v>
      </c>
      <c r="N183" s="137" t="s">
        <v>48</v>
      </c>
      <c r="P183" s="138">
        <f>O183*H183</f>
        <v>0</v>
      </c>
      <c r="Q183" s="138">
        <v>0</v>
      </c>
      <c r="R183" s="138">
        <f>Q183*H183</f>
        <v>0</v>
      </c>
      <c r="S183" s="138">
        <v>0</v>
      </c>
      <c r="T183" s="139">
        <f>S183*H183</f>
        <v>0</v>
      </c>
      <c r="AR183" s="140" t="s">
        <v>185</v>
      </c>
      <c r="AT183" s="140" t="s">
        <v>180</v>
      </c>
      <c r="AU183" s="140" t="s">
        <v>87</v>
      </c>
      <c r="AY183" s="18" t="s">
        <v>177</v>
      </c>
      <c r="BE183" s="141">
        <f>IF(N183="základní",J183,0)</f>
        <v>0</v>
      </c>
      <c r="BF183" s="141">
        <f>IF(N183="snížená",J183,0)</f>
        <v>0</v>
      </c>
      <c r="BG183" s="141">
        <f>IF(N183="zákl. přenesená",J183,0)</f>
        <v>0</v>
      </c>
      <c r="BH183" s="141">
        <f>IF(N183="sníž. přenesená",J183,0)</f>
        <v>0</v>
      </c>
      <c r="BI183" s="141">
        <f>IF(N183="nulová",J183,0)</f>
        <v>0</v>
      </c>
      <c r="BJ183" s="18" t="s">
        <v>85</v>
      </c>
      <c r="BK183" s="141">
        <f>ROUND(I183*H183,2)</f>
        <v>0</v>
      </c>
      <c r="BL183" s="18" t="s">
        <v>185</v>
      </c>
      <c r="BM183" s="140" t="s">
        <v>1793</v>
      </c>
    </row>
    <row r="184" spans="2:47" s="1" customFormat="1" ht="39">
      <c r="B184" s="33"/>
      <c r="D184" s="142" t="s">
        <v>187</v>
      </c>
      <c r="F184" s="143" t="s">
        <v>524</v>
      </c>
      <c r="I184" s="144"/>
      <c r="L184" s="33"/>
      <c r="M184" s="145"/>
      <c r="T184" s="54"/>
      <c r="AT184" s="18" t="s">
        <v>187</v>
      </c>
      <c r="AU184" s="18" t="s">
        <v>87</v>
      </c>
    </row>
    <row r="185" spans="2:47" s="1" customFormat="1" ht="11.25">
      <c r="B185" s="33"/>
      <c r="D185" s="146" t="s">
        <v>189</v>
      </c>
      <c r="F185" s="147" t="s">
        <v>525</v>
      </c>
      <c r="I185" s="144"/>
      <c r="L185" s="33"/>
      <c r="M185" s="145"/>
      <c r="T185" s="54"/>
      <c r="AT185" s="18" t="s">
        <v>189</v>
      </c>
      <c r="AU185" s="18" t="s">
        <v>87</v>
      </c>
    </row>
    <row r="186" spans="2:47" s="1" customFormat="1" ht="87.75">
      <c r="B186" s="33"/>
      <c r="D186" s="142" t="s">
        <v>191</v>
      </c>
      <c r="F186" s="148" t="s">
        <v>526</v>
      </c>
      <c r="I186" s="144"/>
      <c r="L186" s="33"/>
      <c r="M186" s="145"/>
      <c r="T186" s="54"/>
      <c r="AT186" s="18" t="s">
        <v>191</v>
      </c>
      <c r="AU186" s="18" t="s">
        <v>87</v>
      </c>
    </row>
    <row r="187" spans="2:63" s="11" customFormat="1" ht="25.9" customHeight="1">
      <c r="B187" s="116"/>
      <c r="D187" s="117" t="s">
        <v>76</v>
      </c>
      <c r="E187" s="118" t="s">
        <v>313</v>
      </c>
      <c r="F187" s="118" t="s">
        <v>314</v>
      </c>
      <c r="I187" s="119"/>
      <c r="J187" s="120">
        <f>BK187</f>
        <v>0</v>
      </c>
      <c r="L187" s="116"/>
      <c r="M187" s="121"/>
      <c r="P187" s="122">
        <f>SUM(P188:P190)</f>
        <v>0</v>
      </c>
      <c r="R187" s="122">
        <f>SUM(R188:R190)</f>
        <v>0</v>
      </c>
      <c r="T187" s="123">
        <f>SUM(T188:T190)</f>
        <v>0</v>
      </c>
      <c r="AR187" s="117" t="s">
        <v>185</v>
      </c>
      <c r="AT187" s="124" t="s">
        <v>76</v>
      </c>
      <c r="AU187" s="124" t="s">
        <v>77</v>
      </c>
      <c r="AY187" s="117" t="s">
        <v>177</v>
      </c>
      <c r="BK187" s="125">
        <f>SUM(BK188:BK190)</f>
        <v>0</v>
      </c>
    </row>
    <row r="188" spans="2:65" s="1" customFormat="1" ht="16.5" customHeight="1">
      <c r="B188" s="128"/>
      <c r="C188" s="129" t="s">
        <v>8</v>
      </c>
      <c r="D188" s="129" t="s">
        <v>180</v>
      </c>
      <c r="E188" s="130" t="s">
        <v>528</v>
      </c>
      <c r="F188" s="131" t="s">
        <v>529</v>
      </c>
      <c r="G188" s="132" t="s">
        <v>305</v>
      </c>
      <c r="H188" s="133">
        <v>30</v>
      </c>
      <c r="I188" s="134"/>
      <c r="J188" s="135">
        <f>ROUND(I188*H188,2)</f>
        <v>0</v>
      </c>
      <c r="K188" s="131" t="s">
        <v>184</v>
      </c>
      <c r="L188" s="33"/>
      <c r="M188" s="136" t="s">
        <v>3</v>
      </c>
      <c r="N188" s="137" t="s">
        <v>48</v>
      </c>
      <c r="P188" s="138">
        <f>O188*H188</f>
        <v>0</v>
      </c>
      <c r="Q188" s="138">
        <v>0</v>
      </c>
      <c r="R188" s="138">
        <f>Q188*H188</f>
        <v>0</v>
      </c>
      <c r="S188" s="138">
        <v>0</v>
      </c>
      <c r="T188" s="139">
        <f>S188*H188</f>
        <v>0</v>
      </c>
      <c r="AR188" s="140" t="s">
        <v>318</v>
      </c>
      <c r="AT188" s="140" t="s">
        <v>180</v>
      </c>
      <c r="AU188" s="140" t="s">
        <v>85</v>
      </c>
      <c r="AY188" s="18" t="s">
        <v>177</v>
      </c>
      <c r="BE188" s="141">
        <f>IF(N188="základní",J188,0)</f>
        <v>0</v>
      </c>
      <c r="BF188" s="141">
        <f>IF(N188="snížená",J188,0)</f>
        <v>0</v>
      </c>
      <c r="BG188" s="141">
        <f>IF(N188="zákl. přenesená",J188,0)</f>
        <v>0</v>
      </c>
      <c r="BH188" s="141">
        <f>IF(N188="sníž. přenesená",J188,0)</f>
        <v>0</v>
      </c>
      <c r="BI188" s="141">
        <f>IF(N188="nulová",J188,0)</f>
        <v>0</v>
      </c>
      <c r="BJ188" s="18" t="s">
        <v>85</v>
      </c>
      <c r="BK188" s="141">
        <f>ROUND(I188*H188,2)</f>
        <v>0</v>
      </c>
      <c r="BL188" s="18" t="s">
        <v>318</v>
      </c>
      <c r="BM188" s="140" t="s">
        <v>1794</v>
      </c>
    </row>
    <row r="189" spans="2:47" s="1" customFormat="1" ht="19.5">
      <c r="B189" s="33"/>
      <c r="D189" s="142" t="s">
        <v>187</v>
      </c>
      <c r="F189" s="143" t="s">
        <v>531</v>
      </c>
      <c r="I189" s="144"/>
      <c r="L189" s="33"/>
      <c r="M189" s="145"/>
      <c r="T189" s="54"/>
      <c r="AT189" s="18" t="s">
        <v>187</v>
      </c>
      <c r="AU189" s="18" t="s">
        <v>85</v>
      </c>
    </row>
    <row r="190" spans="2:47" s="1" customFormat="1" ht="11.25">
      <c r="B190" s="33"/>
      <c r="D190" s="146" t="s">
        <v>189</v>
      </c>
      <c r="F190" s="147" t="s">
        <v>532</v>
      </c>
      <c r="I190" s="144"/>
      <c r="L190" s="33"/>
      <c r="M190" s="189"/>
      <c r="N190" s="190"/>
      <c r="O190" s="190"/>
      <c r="P190" s="190"/>
      <c r="Q190" s="190"/>
      <c r="R190" s="190"/>
      <c r="S190" s="190"/>
      <c r="T190" s="191"/>
      <c r="AT190" s="18" t="s">
        <v>189</v>
      </c>
      <c r="AU190" s="18" t="s">
        <v>85</v>
      </c>
    </row>
    <row r="191" spans="2:12" s="1" customFormat="1" ht="6.95" customHeight="1">
      <c r="B191" s="42"/>
      <c r="C191" s="43"/>
      <c r="D191" s="43"/>
      <c r="E191" s="43"/>
      <c r="F191" s="43"/>
      <c r="G191" s="43"/>
      <c r="H191" s="43"/>
      <c r="I191" s="43"/>
      <c r="J191" s="43"/>
      <c r="K191" s="43"/>
      <c r="L191" s="33"/>
    </row>
  </sheetData>
  <autoFilter ref="C84:K190"/>
  <mergeCells count="9">
    <mergeCell ref="E50:H50"/>
    <mergeCell ref="E75:H75"/>
    <mergeCell ref="E77:H77"/>
    <mergeCell ref="L2:V2"/>
    <mergeCell ref="E7:H7"/>
    <mergeCell ref="E9:H9"/>
    <mergeCell ref="E18:H18"/>
    <mergeCell ref="E27:H27"/>
    <mergeCell ref="E48:H48"/>
  </mergeCells>
  <hyperlinks>
    <hyperlink ref="F90" r:id="rId1" display="https://podminky.urs.cz/item/CS_URS_2022_02/311272227"/>
    <hyperlink ref="F97" r:id="rId2" display="https://podminky.urs.cz/item/CS_URS_2022_02/317142410"/>
    <hyperlink ref="F101" r:id="rId3" display="https://podminky.urs.cz/item/CS_URS_2022_02/317142412"/>
    <hyperlink ref="F105" r:id="rId4" display="https://podminky.urs.cz/item/CS_URS_2022_02/317142442"/>
    <hyperlink ref="F109" r:id="rId5" display="https://podminky.urs.cz/item/CS_URS_2022_02/317143453"/>
    <hyperlink ref="F116" r:id="rId6" display="https://podminky.urs.cz/item/CS_URS_2022_02/342272215"/>
    <hyperlink ref="F123" r:id="rId7" display="https://podminky.urs.cz/item/CS_URS_2022_02/342272245"/>
    <hyperlink ref="F137" r:id="rId8" display="https://podminky.urs.cz/item/CS_URS_2022_02/631319221"/>
    <hyperlink ref="F141" r:id="rId9" display="https://podminky.urs.cz/item/CS_URS_2022_02/632451107"/>
    <hyperlink ref="F145" r:id="rId10" display="https://podminky.urs.cz/item/CS_URS_2022_02/634112113"/>
    <hyperlink ref="F153" r:id="rId11" display="https://podminky.urs.cz/item/CS_URS_2022_02/642942611"/>
    <hyperlink ref="F163" r:id="rId12" display="https://podminky.urs.cz/item/CS_URS_2022_02/642945112"/>
    <hyperlink ref="F174" r:id="rId13" display="https://podminky.urs.cz/item/CS_URS_2022_02/949101111"/>
    <hyperlink ref="F180" r:id="rId14" display="https://podminky.urs.cz/item/CS_URS_2022_02/952901111"/>
    <hyperlink ref="F185" r:id="rId15" display="https://podminky.urs.cz/item/CS_URS_2022_02/998018002"/>
    <hyperlink ref="F190" r:id="rId16"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30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114</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1795</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ROUND(J87,2)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ROUND((SUM(BE87:BE299)),2)</f>
        <v>0</v>
      </c>
      <c r="I33" s="90">
        <v>0.21</v>
      </c>
      <c r="J33" s="89">
        <f>ROUND(((SUM(BE87:BE299))*I33),2)</f>
        <v>0</v>
      </c>
      <c r="L33" s="33"/>
    </row>
    <row r="34" spans="2:12" s="1" customFormat="1" ht="14.45" customHeight="1">
      <c r="B34" s="33"/>
      <c r="E34" s="28" t="s">
        <v>49</v>
      </c>
      <c r="F34" s="89">
        <f>ROUND((SUM(BF87:BF299)),2)</f>
        <v>0</v>
      </c>
      <c r="I34" s="90">
        <v>0.15</v>
      </c>
      <c r="J34" s="89">
        <f>ROUND(((SUM(BF87:BF299))*I34),2)</f>
        <v>0</v>
      </c>
      <c r="L34" s="33"/>
    </row>
    <row r="35" spans="2:12" s="1" customFormat="1" ht="14.45" customHeight="1" hidden="1">
      <c r="B35" s="33"/>
      <c r="E35" s="28" t="s">
        <v>50</v>
      </c>
      <c r="F35" s="89">
        <f>ROUND((SUM(BG87:BG299)),2)</f>
        <v>0</v>
      </c>
      <c r="I35" s="90">
        <v>0.21</v>
      </c>
      <c r="J35" s="89">
        <f>0</f>
        <v>0</v>
      </c>
      <c r="L35" s="33"/>
    </row>
    <row r="36" spans="2:12" s="1" customFormat="1" ht="14.45" customHeight="1" hidden="1">
      <c r="B36" s="33"/>
      <c r="E36" s="28" t="s">
        <v>51</v>
      </c>
      <c r="F36" s="89">
        <f>ROUND((SUM(BH87:BH299)),2)</f>
        <v>0</v>
      </c>
      <c r="I36" s="90">
        <v>0.15</v>
      </c>
      <c r="J36" s="89">
        <f>0</f>
        <v>0</v>
      </c>
      <c r="L36" s="33"/>
    </row>
    <row r="37" spans="2:12" s="1" customFormat="1" ht="14.45" customHeight="1" hidden="1">
      <c r="B37" s="33"/>
      <c r="E37" s="28" t="s">
        <v>52</v>
      </c>
      <c r="F37" s="89">
        <f>ROUND((SUM(BI87:BI299)),2)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E10 - Vybourání dispozice 1. NP</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J87</f>
        <v>0</v>
      </c>
      <c r="L59" s="33"/>
      <c r="AU59" s="18" t="s">
        <v>152</v>
      </c>
    </row>
    <row r="60" spans="2:12" s="8" customFormat="1" ht="24.95" customHeight="1">
      <c r="B60" s="100"/>
      <c r="D60" s="101" t="s">
        <v>153</v>
      </c>
      <c r="E60" s="102"/>
      <c r="F60" s="102"/>
      <c r="G60" s="102"/>
      <c r="H60" s="102"/>
      <c r="I60" s="102"/>
      <c r="J60" s="103">
        <f>J88</f>
        <v>0</v>
      </c>
      <c r="L60" s="100"/>
    </row>
    <row r="61" spans="2:12" s="9" customFormat="1" ht="19.9" customHeight="1">
      <c r="B61" s="104"/>
      <c r="D61" s="105" t="s">
        <v>1568</v>
      </c>
      <c r="E61" s="106"/>
      <c r="F61" s="106"/>
      <c r="G61" s="106"/>
      <c r="H61" s="106"/>
      <c r="I61" s="106"/>
      <c r="J61" s="107">
        <f>J89</f>
        <v>0</v>
      </c>
      <c r="L61" s="104"/>
    </row>
    <row r="62" spans="2:12" s="9" customFormat="1" ht="19.9" customHeight="1">
      <c r="B62" s="104"/>
      <c r="D62" s="105" t="s">
        <v>325</v>
      </c>
      <c r="E62" s="106"/>
      <c r="F62" s="106"/>
      <c r="G62" s="106"/>
      <c r="H62" s="106"/>
      <c r="I62" s="106"/>
      <c r="J62" s="107">
        <f>J108</f>
        <v>0</v>
      </c>
      <c r="L62" s="104"/>
    </row>
    <row r="63" spans="2:12" s="9" customFormat="1" ht="19.9" customHeight="1">
      <c r="B63" s="104"/>
      <c r="D63" s="105" t="s">
        <v>154</v>
      </c>
      <c r="E63" s="106"/>
      <c r="F63" s="106"/>
      <c r="G63" s="106"/>
      <c r="H63" s="106"/>
      <c r="I63" s="106"/>
      <c r="J63" s="107">
        <f>J258</f>
        <v>0</v>
      </c>
      <c r="L63" s="104"/>
    </row>
    <row r="64" spans="2:12" s="9" customFormat="1" ht="19.9" customHeight="1">
      <c r="B64" s="104"/>
      <c r="D64" s="105" t="s">
        <v>326</v>
      </c>
      <c r="E64" s="106"/>
      <c r="F64" s="106"/>
      <c r="G64" s="106"/>
      <c r="H64" s="106"/>
      <c r="I64" s="106"/>
      <c r="J64" s="107">
        <f>J281</f>
        <v>0</v>
      </c>
      <c r="L64" s="104"/>
    </row>
    <row r="65" spans="2:12" s="8" customFormat="1" ht="24.95" customHeight="1">
      <c r="B65" s="100"/>
      <c r="D65" s="101" t="s">
        <v>155</v>
      </c>
      <c r="E65" s="102"/>
      <c r="F65" s="102"/>
      <c r="G65" s="102"/>
      <c r="H65" s="102"/>
      <c r="I65" s="102"/>
      <c r="J65" s="103">
        <f>J286</f>
        <v>0</v>
      </c>
      <c r="L65" s="100"/>
    </row>
    <row r="66" spans="2:12" s="9" customFormat="1" ht="19.9" customHeight="1">
      <c r="B66" s="104"/>
      <c r="D66" s="105" t="s">
        <v>1475</v>
      </c>
      <c r="E66" s="106"/>
      <c r="F66" s="106"/>
      <c r="G66" s="106"/>
      <c r="H66" s="106"/>
      <c r="I66" s="106"/>
      <c r="J66" s="107">
        <f>J287</f>
        <v>0</v>
      </c>
      <c r="L66" s="104"/>
    </row>
    <row r="67" spans="2:12" s="8" customFormat="1" ht="24.95" customHeight="1">
      <c r="B67" s="100"/>
      <c r="D67" s="101" t="s">
        <v>161</v>
      </c>
      <c r="E67" s="102"/>
      <c r="F67" s="102"/>
      <c r="G67" s="102"/>
      <c r="H67" s="102"/>
      <c r="I67" s="102"/>
      <c r="J67" s="103">
        <f>J296</f>
        <v>0</v>
      </c>
      <c r="L67" s="100"/>
    </row>
    <row r="68" spans="2:12" s="1" customFormat="1" ht="21.75" customHeight="1">
      <c r="B68" s="33"/>
      <c r="L68" s="33"/>
    </row>
    <row r="69" spans="2:12" s="1" customFormat="1" ht="6.95" customHeight="1">
      <c r="B69" s="42"/>
      <c r="C69" s="43"/>
      <c r="D69" s="43"/>
      <c r="E69" s="43"/>
      <c r="F69" s="43"/>
      <c r="G69" s="43"/>
      <c r="H69" s="43"/>
      <c r="I69" s="43"/>
      <c r="J69" s="43"/>
      <c r="K69" s="43"/>
      <c r="L69" s="33"/>
    </row>
    <row r="73" spans="2:12" s="1" customFormat="1" ht="6.95" customHeight="1">
      <c r="B73" s="44"/>
      <c r="C73" s="45"/>
      <c r="D73" s="45"/>
      <c r="E73" s="45"/>
      <c r="F73" s="45"/>
      <c r="G73" s="45"/>
      <c r="H73" s="45"/>
      <c r="I73" s="45"/>
      <c r="J73" s="45"/>
      <c r="K73" s="45"/>
      <c r="L73" s="33"/>
    </row>
    <row r="74" spans="2:12" s="1" customFormat="1" ht="24.95" customHeight="1">
      <c r="B74" s="33"/>
      <c r="C74" s="22" t="s">
        <v>162</v>
      </c>
      <c r="L74" s="33"/>
    </row>
    <row r="75" spans="2:12" s="1" customFormat="1" ht="6.95" customHeight="1">
      <c r="B75" s="33"/>
      <c r="L75" s="33"/>
    </row>
    <row r="76" spans="2:12" s="1" customFormat="1" ht="12" customHeight="1">
      <c r="B76" s="33"/>
      <c r="C76" s="28" t="s">
        <v>17</v>
      </c>
      <c r="L76" s="33"/>
    </row>
    <row r="77" spans="2:12" s="1" customFormat="1" ht="16.5" customHeight="1">
      <c r="B77" s="33"/>
      <c r="E77" s="315" t="str">
        <f>E7</f>
        <v>ZŠ P. HOLÉHO - PŘESTAVBA PLAVECKÉHO PAVILONU</v>
      </c>
      <c r="F77" s="316"/>
      <c r="G77" s="316"/>
      <c r="H77" s="316"/>
      <c r="L77" s="33"/>
    </row>
    <row r="78" spans="2:12" s="1" customFormat="1" ht="12" customHeight="1">
      <c r="B78" s="33"/>
      <c r="C78" s="28" t="s">
        <v>146</v>
      </c>
      <c r="L78" s="33"/>
    </row>
    <row r="79" spans="2:12" s="1" customFormat="1" ht="16.5" customHeight="1">
      <c r="B79" s="33"/>
      <c r="E79" s="281" t="str">
        <f>E9</f>
        <v>E10 - Vybourání dispozice 1. NP</v>
      </c>
      <c r="F79" s="317"/>
      <c r="G79" s="317"/>
      <c r="H79" s="317"/>
      <c r="L79" s="33"/>
    </row>
    <row r="80" spans="2:12" s="1" customFormat="1" ht="6.95" customHeight="1">
      <c r="B80" s="33"/>
      <c r="L80" s="33"/>
    </row>
    <row r="81" spans="2:12" s="1" customFormat="1" ht="12" customHeight="1">
      <c r="B81" s="33"/>
      <c r="C81" s="28" t="s">
        <v>21</v>
      </c>
      <c r="F81" s="26" t="str">
        <f>F12</f>
        <v>Prokopa Holého 2632, Louny, 440 01</v>
      </c>
      <c r="I81" s="28" t="s">
        <v>23</v>
      </c>
      <c r="J81" s="50" t="str">
        <f>IF(J12="","",J12)</f>
        <v>21. 9. 2022</v>
      </c>
      <c r="L81" s="33"/>
    </row>
    <row r="82" spans="2:12" s="1" customFormat="1" ht="6.95" customHeight="1">
      <c r="B82" s="33"/>
      <c r="L82" s="33"/>
    </row>
    <row r="83" spans="2:12" s="1" customFormat="1" ht="15.2" customHeight="1">
      <c r="B83" s="33"/>
      <c r="C83" s="28" t="s">
        <v>25</v>
      </c>
      <c r="F83" s="26" t="str">
        <f>E15</f>
        <v>Město Louny</v>
      </c>
      <c r="I83" s="28" t="s">
        <v>32</v>
      </c>
      <c r="J83" s="31" t="str">
        <f>E21</f>
        <v>RYSIK Design s.r.o.</v>
      </c>
      <c r="L83" s="33"/>
    </row>
    <row r="84" spans="2:12" s="1" customFormat="1" ht="25.7" customHeight="1">
      <c r="B84" s="33"/>
      <c r="C84" s="28" t="s">
        <v>30</v>
      </c>
      <c r="F84" s="26" t="str">
        <f>IF(E18="","",E18)</f>
        <v>Vyplň údaj</v>
      </c>
      <c r="I84" s="28" t="s">
        <v>37</v>
      </c>
      <c r="J84" s="31" t="str">
        <f>E24</f>
        <v>ing. Kateřina Tumpachová</v>
      </c>
      <c r="L84" s="33"/>
    </row>
    <row r="85" spans="2:12" s="1" customFormat="1" ht="10.35" customHeight="1">
      <c r="B85" s="33"/>
      <c r="L85" s="33"/>
    </row>
    <row r="86" spans="2:20" s="10" customFormat="1" ht="29.25" customHeight="1">
      <c r="B86" s="108"/>
      <c r="C86" s="109" t="s">
        <v>163</v>
      </c>
      <c r="D86" s="110" t="s">
        <v>62</v>
      </c>
      <c r="E86" s="110" t="s">
        <v>58</v>
      </c>
      <c r="F86" s="110" t="s">
        <v>59</v>
      </c>
      <c r="G86" s="110" t="s">
        <v>164</v>
      </c>
      <c r="H86" s="110" t="s">
        <v>165</v>
      </c>
      <c r="I86" s="110" t="s">
        <v>166</v>
      </c>
      <c r="J86" s="110" t="s">
        <v>151</v>
      </c>
      <c r="K86" s="111" t="s">
        <v>167</v>
      </c>
      <c r="L86" s="108"/>
      <c r="M86" s="57" t="s">
        <v>3</v>
      </c>
      <c r="N86" s="58" t="s">
        <v>47</v>
      </c>
      <c r="O86" s="58" t="s">
        <v>168</v>
      </c>
      <c r="P86" s="58" t="s">
        <v>169</v>
      </c>
      <c r="Q86" s="58" t="s">
        <v>170</v>
      </c>
      <c r="R86" s="58" t="s">
        <v>171</v>
      </c>
      <c r="S86" s="58" t="s">
        <v>172</v>
      </c>
      <c r="T86" s="59" t="s">
        <v>173</v>
      </c>
    </row>
    <row r="87" spans="2:63" s="1" customFormat="1" ht="22.9" customHeight="1">
      <c r="B87" s="33"/>
      <c r="C87" s="62" t="s">
        <v>174</v>
      </c>
      <c r="J87" s="112">
        <f>BK87</f>
        <v>0</v>
      </c>
      <c r="L87" s="33"/>
      <c r="M87" s="60"/>
      <c r="N87" s="51"/>
      <c r="O87" s="51"/>
      <c r="P87" s="113">
        <f>P88+P286+P296</f>
        <v>0</v>
      </c>
      <c r="Q87" s="51"/>
      <c r="R87" s="113">
        <f>R88+R286+R296</f>
        <v>8.025245629909998</v>
      </c>
      <c r="S87" s="51"/>
      <c r="T87" s="114">
        <f>T88+T286+T296</f>
        <v>193.268026</v>
      </c>
      <c r="AT87" s="18" t="s">
        <v>76</v>
      </c>
      <c r="AU87" s="18" t="s">
        <v>152</v>
      </c>
      <c r="BK87" s="115">
        <f>BK88+BK286+BK296</f>
        <v>0</v>
      </c>
    </row>
    <row r="88" spans="2:63" s="11" customFormat="1" ht="25.9" customHeight="1">
      <c r="B88" s="116"/>
      <c r="D88" s="117" t="s">
        <v>76</v>
      </c>
      <c r="E88" s="118" t="s">
        <v>175</v>
      </c>
      <c r="F88" s="118" t="s">
        <v>176</v>
      </c>
      <c r="I88" s="119"/>
      <c r="J88" s="120">
        <f>BK88</f>
        <v>0</v>
      </c>
      <c r="L88" s="116"/>
      <c r="M88" s="121"/>
      <c r="P88" s="122">
        <f>P89+P108+P258+P281</f>
        <v>0</v>
      </c>
      <c r="R88" s="122">
        <f>R89+R108+R258+R281</f>
        <v>8.025245629909998</v>
      </c>
      <c r="T88" s="123">
        <f>T89+T108+T258+T281</f>
        <v>192.940026</v>
      </c>
      <c r="AR88" s="117" t="s">
        <v>85</v>
      </c>
      <c r="AT88" s="124" t="s">
        <v>76</v>
      </c>
      <c r="AU88" s="124" t="s">
        <v>77</v>
      </c>
      <c r="AY88" s="117" t="s">
        <v>177</v>
      </c>
      <c r="BK88" s="125">
        <f>BK89+BK108+BK258+BK281</f>
        <v>0</v>
      </c>
    </row>
    <row r="89" spans="2:63" s="11" customFormat="1" ht="22.9" customHeight="1">
      <c r="B89" s="116"/>
      <c r="D89" s="117" t="s">
        <v>76</v>
      </c>
      <c r="E89" s="126" t="s">
        <v>185</v>
      </c>
      <c r="F89" s="126" t="s">
        <v>1575</v>
      </c>
      <c r="I89" s="119"/>
      <c r="J89" s="127">
        <f>BK89</f>
        <v>0</v>
      </c>
      <c r="L89" s="116"/>
      <c r="M89" s="121"/>
      <c r="P89" s="122">
        <f>SUM(P90:P107)</f>
        <v>0</v>
      </c>
      <c r="R89" s="122">
        <f>SUM(R90:R107)</f>
        <v>0.07450176</v>
      </c>
      <c r="T89" s="123">
        <f>SUM(T90:T107)</f>
        <v>0</v>
      </c>
      <c r="AR89" s="117" t="s">
        <v>85</v>
      </c>
      <c r="AT89" s="124" t="s">
        <v>76</v>
      </c>
      <c r="AU89" s="124" t="s">
        <v>85</v>
      </c>
      <c r="AY89" s="117" t="s">
        <v>177</v>
      </c>
      <c r="BK89" s="125">
        <f>SUM(BK90:BK107)</f>
        <v>0</v>
      </c>
    </row>
    <row r="90" spans="2:65" s="1" customFormat="1" ht="24.2" customHeight="1">
      <c r="B90" s="128"/>
      <c r="C90" s="129" t="s">
        <v>85</v>
      </c>
      <c r="D90" s="129" t="s">
        <v>180</v>
      </c>
      <c r="E90" s="130" t="s">
        <v>1576</v>
      </c>
      <c r="F90" s="131" t="s">
        <v>1577</v>
      </c>
      <c r="G90" s="132" t="s">
        <v>332</v>
      </c>
      <c r="H90" s="133">
        <v>12</v>
      </c>
      <c r="I90" s="134"/>
      <c r="J90" s="135">
        <f>ROUND(I90*H90,2)</f>
        <v>0</v>
      </c>
      <c r="K90" s="131" t="s">
        <v>184</v>
      </c>
      <c r="L90" s="33"/>
      <c r="M90" s="136" t="s">
        <v>3</v>
      </c>
      <c r="N90" s="137" t="s">
        <v>48</v>
      </c>
      <c r="P90" s="138">
        <f>O90*H90</f>
        <v>0</v>
      </c>
      <c r="Q90" s="138">
        <v>0.0053262</v>
      </c>
      <c r="R90" s="138">
        <f>Q90*H90</f>
        <v>0.0639144</v>
      </c>
      <c r="S90" s="138">
        <v>0</v>
      </c>
      <c r="T90" s="139">
        <f>S90*H90</f>
        <v>0</v>
      </c>
      <c r="AR90" s="140" t="s">
        <v>185</v>
      </c>
      <c r="AT90" s="140" t="s">
        <v>180</v>
      </c>
      <c r="AU90" s="140" t="s">
        <v>87</v>
      </c>
      <c r="AY90" s="18" t="s">
        <v>177</v>
      </c>
      <c r="BE90" s="141">
        <f>IF(N90="základní",J90,0)</f>
        <v>0</v>
      </c>
      <c r="BF90" s="141">
        <f>IF(N90="snížená",J90,0)</f>
        <v>0</v>
      </c>
      <c r="BG90" s="141">
        <f>IF(N90="zákl. přenesená",J90,0)</f>
        <v>0</v>
      </c>
      <c r="BH90" s="141">
        <f>IF(N90="sníž. přenesená",J90,0)</f>
        <v>0</v>
      </c>
      <c r="BI90" s="141">
        <f>IF(N90="nulová",J90,0)</f>
        <v>0</v>
      </c>
      <c r="BJ90" s="18" t="s">
        <v>85</v>
      </c>
      <c r="BK90" s="141">
        <f>ROUND(I90*H90,2)</f>
        <v>0</v>
      </c>
      <c r="BL90" s="18" t="s">
        <v>185</v>
      </c>
      <c r="BM90" s="140" t="s">
        <v>1796</v>
      </c>
    </row>
    <row r="91" spans="2:47" s="1" customFormat="1" ht="19.5">
      <c r="B91" s="33"/>
      <c r="D91" s="142" t="s">
        <v>187</v>
      </c>
      <c r="F91" s="143" t="s">
        <v>1579</v>
      </c>
      <c r="I91" s="144"/>
      <c r="L91" s="33"/>
      <c r="M91" s="145"/>
      <c r="T91" s="54"/>
      <c r="AT91" s="18" t="s">
        <v>187</v>
      </c>
      <c r="AU91" s="18" t="s">
        <v>87</v>
      </c>
    </row>
    <row r="92" spans="2:47" s="1" customFormat="1" ht="11.25">
      <c r="B92" s="33"/>
      <c r="D92" s="146" t="s">
        <v>189</v>
      </c>
      <c r="F92" s="147" t="s">
        <v>1580</v>
      </c>
      <c r="I92" s="144"/>
      <c r="L92" s="33"/>
      <c r="M92" s="145"/>
      <c r="T92" s="54"/>
      <c r="AT92" s="18" t="s">
        <v>189</v>
      </c>
      <c r="AU92" s="18" t="s">
        <v>87</v>
      </c>
    </row>
    <row r="93" spans="2:47" s="1" customFormat="1" ht="243.75">
      <c r="B93" s="33"/>
      <c r="D93" s="142" t="s">
        <v>191</v>
      </c>
      <c r="F93" s="148" t="s">
        <v>1581</v>
      </c>
      <c r="I93" s="144"/>
      <c r="L93" s="33"/>
      <c r="M93" s="145"/>
      <c r="T93" s="54"/>
      <c r="AT93" s="18" t="s">
        <v>191</v>
      </c>
      <c r="AU93" s="18" t="s">
        <v>87</v>
      </c>
    </row>
    <row r="94" spans="2:51" s="13" customFormat="1" ht="11.25">
      <c r="B94" s="156"/>
      <c r="D94" s="142" t="s">
        <v>193</v>
      </c>
      <c r="E94" s="157" t="s">
        <v>3</v>
      </c>
      <c r="F94" s="158" t="s">
        <v>1797</v>
      </c>
      <c r="H94" s="157" t="s">
        <v>3</v>
      </c>
      <c r="I94" s="159"/>
      <c r="L94" s="156"/>
      <c r="M94" s="160"/>
      <c r="T94" s="161"/>
      <c r="AT94" s="157" t="s">
        <v>193</v>
      </c>
      <c r="AU94" s="157" t="s">
        <v>87</v>
      </c>
      <c r="AV94" s="13" t="s">
        <v>85</v>
      </c>
      <c r="AW94" s="13" t="s">
        <v>36</v>
      </c>
      <c r="AX94" s="13" t="s">
        <v>77</v>
      </c>
      <c r="AY94" s="157" t="s">
        <v>177</v>
      </c>
    </row>
    <row r="95" spans="2:51" s="12" customFormat="1" ht="11.25">
      <c r="B95" s="149"/>
      <c r="D95" s="142" t="s">
        <v>193</v>
      </c>
      <c r="E95" s="150" t="s">
        <v>3</v>
      </c>
      <c r="F95" s="151" t="s">
        <v>1798</v>
      </c>
      <c r="H95" s="152">
        <v>12</v>
      </c>
      <c r="I95" s="153"/>
      <c r="L95" s="149"/>
      <c r="M95" s="154"/>
      <c r="T95" s="155"/>
      <c r="AT95" s="150" t="s">
        <v>193</v>
      </c>
      <c r="AU95" s="150" t="s">
        <v>87</v>
      </c>
      <c r="AV95" s="12" t="s">
        <v>87</v>
      </c>
      <c r="AW95" s="12" t="s">
        <v>36</v>
      </c>
      <c r="AX95" s="12" t="s">
        <v>85</v>
      </c>
      <c r="AY95" s="150" t="s">
        <v>177</v>
      </c>
    </row>
    <row r="96" spans="2:65" s="1" customFormat="1" ht="24.2" customHeight="1">
      <c r="B96" s="128"/>
      <c r="C96" s="129" t="s">
        <v>87</v>
      </c>
      <c r="D96" s="129" t="s">
        <v>180</v>
      </c>
      <c r="E96" s="130" t="s">
        <v>1583</v>
      </c>
      <c r="F96" s="131" t="s">
        <v>1584</v>
      </c>
      <c r="G96" s="132" t="s">
        <v>332</v>
      </c>
      <c r="H96" s="133">
        <v>12</v>
      </c>
      <c r="I96" s="134"/>
      <c r="J96" s="135">
        <f>ROUND(I96*H96,2)</f>
        <v>0</v>
      </c>
      <c r="K96" s="131" t="s">
        <v>184</v>
      </c>
      <c r="L96" s="33"/>
      <c r="M96" s="136" t="s">
        <v>3</v>
      </c>
      <c r="N96" s="137" t="s">
        <v>48</v>
      </c>
      <c r="P96" s="138">
        <f>O96*H96</f>
        <v>0</v>
      </c>
      <c r="Q96" s="138">
        <v>0</v>
      </c>
      <c r="R96" s="138">
        <f>Q96*H96</f>
        <v>0</v>
      </c>
      <c r="S96" s="138">
        <v>0</v>
      </c>
      <c r="T96" s="139">
        <f>S96*H96</f>
        <v>0</v>
      </c>
      <c r="AR96" s="140" t="s">
        <v>185</v>
      </c>
      <c r="AT96" s="140" t="s">
        <v>180</v>
      </c>
      <c r="AU96" s="140" t="s">
        <v>87</v>
      </c>
      <c r="AY96" s="18" t="s">
        <v>177</v>
      </c>
      <c r="BE96" s="141">
        <f>IF(N96="základní",J96,0)</f>
        <v>0</v>
      </c>
      <c r="BF96" s="141">
        <f>IF(N96="snížená",J96,0)</f>
        <v>0</v>
      </c>
      <c r="BG96" s="141">
        <f>IF(N96="zákl. přenesená",J96,0)</f>
        <v>0</v>
      </c>
      <c r="BH96" s="141">
        <f>IF(N96="sníž. přenesená",J96,0)</f>
        <v>0</v>
      </c>
      <c r="BI96" s="141">
        <f>IF(N96="nulová",J96,0)</f>
        <v>0</v>
      </c>
      <c r="BJ96" s="18" t="s">
        <v>85</v>
      </c>
      <c r="BK96" s="141">
        <f>ROUND(I96*H96,2)</f>
        <v>0</v>
      </c>
      <c r="BL96" s="18" t="s">
        <v>185</v>
      </c>
      <c r="BM96" s="140" t="s">
        <v>1799</v>
      </c>
    </row>
    <row r="97" spans="2:47" s="1" customFormat="1" ht="19.5">
      <c r="B97" s="33"/>
      <c r="D97" s="142" t="s">
        <v>187</v>
      </c>
      <c r="F97" s="143" t="s">
        <v>1586</v>
      </c>
      <c r="I97" s="144"/>
      <c r="L97" s="33"/>
      <c r="M97" s="145"/>
      <c r="T97" s="54"/>
      <c r="AT97" s="18" t="s">
        <v>187</v>
      </c>
      <c r="AU97" s="18" t="s">
        <v>87</v>
      </c>
    </row>
    <row r="98" spans="2:47" s="1" customFormat="1" ht="11.25">
      <c r="B98" s="33"/>
      <c r="D98" s="146" t="s">
        <v>189</v>
      </c>
      <c r="F98" s="147" t="s">
        <v>1587</v>
      </c>
      <c r="I98" s="144"/>
      <c r="L98" s="33"/>
      <c r="M98" s="145"/>
      <c r="T98" s="54"/>
      <c r="AT98" s="18" t="s">
        <v>189</v>
      </c>
      <c r="AU98" s="18" t="s">
        <v>87</v>
      </c>
    </row>
    <row r="99" spans="2:47" s="1" customFormat="1" ht="243.75">
      <c r="B99" s="33"/>
      <c r="D99" s="142" t="s">
        <v>191</v>
      </c>
      <c r="F99" s="148" t="s">
        <v>1581</v>
      </c>
      <c r="I99" s="144"/>
      <c r="L99" s="33"/>
      <c r="M99" s="145"/>
      <c r="T99" s="54"/>
      <c r="AT99" s="18" t="s">
        <v>191</v>
      </c>
      <c r="AU99" s="18" t="s">
        <v>87</v>
      </c>
    </row>
    <row r="100" spans="2:65" s="1" customFormat="1" ht="24.2" customHeight="1">
      <c r="B100" s="128"/>
      <c r="C100" s="129" t="s">
        <v>198</v>
      </c>
      <c r="D100" s="129" t="s">
        <v>180</v>
      </c>
      <c r="E100" s="130" t="s">
        <v>1588</v>
      </c>
      <c r="F100" s="131" t="s">
        <v>1589</v>
      </c>
      <c r="G100" s="132" t="s">
        <v>332</v>
      </c>
      <c r="H100" s="133">
        <v>12</v>
      </c>
      <c r="I100" s="134"/>
      <c r="J100" s="135">
        <f>ROUND(I100*H100,2)</f>
        <v>0</v>
      </c>
      <c r="K100" s="131" t="s">
        <v>184</v>
      </c>
      <c r="L100" s="33"/>
      <c r="M100" s="136" t="s">
        <v>3</v>
      </c>
      <c r="N100" s="137" t="s">
        <v>48</v>
      </c>
      <c r="P100" s="138">
        <f>O100*H100</f>
        <v>0</v>
      </c>
      <c r="Q100" s="138">
        <v>0.00088228</v>
      </c>
      <c r="R100" s="138">
        <f>Q100*H100</f>
        <v>0.01058736</v>
      </c>
      <c r="S100" s="138">
        <v>0</v>
      </c>
      <c r="T100" s="139">
        <f>S100*H100</f>
        <v>0</v>
      </c>
      <c r="AR100" s="140" t="s">
        <v>185</v>
      </c>
      <c r="AT100" s="140" t="s">
        <v>180</v>
      </c>
      <c r="AU100" s="140" t="s">
        <v>87</v>
      </c>
      <c r="AY100" s="18" t="s">
        <v>177</v>
      </c>
      <c r="BE100" s="141">
        <f>IF(N100="základní",J100,0)</f>
        <v>0</v>
      </c>
      <c r="BF100" s="141">
        <f>IF(N100="snížená",J100,0)</f>
        <v>0</v>
      </c>
      <c r="BG100" s="141">
        <f>IF(N100="zákl. přenesená",J100,0)</f>
        <v>0</v>
      </c>
      <c r="BH100" s="141">
        <f>IF(N100="sníž. přenesená",J100,0)</f>
        <v>0</v>
      </c>
      <c r="BI100" s="141">
        <f>IF(N100="nulová",J100,0)</f>
        <v>0</v>
      </c>
      <c r="BJ100" s="18" t="s">
        <v>85</v>
      </c>
      <c r="BK100" s="141">
        <f>ROUND(I100*H100,2)</f>
        <v>0</v>
      </c>
      <c r="BL100" s="18" t="s">
        <v>185</v>
      </c>
      <c r="BM100" s="140" t="s">
        <v>1800</v>
      </c>
    </row>
    <row r="101" spans="2:47" s="1" customFormat="1" ht="19.5">
      <c r="B101" s="33"/>
      <c r="D101" s="142" t="s">
        <v>187</v>
      </c>
      <c r="F101" s="143" t="s">
        <v>1591</v>
      </c>
      <c r="I101" s="144"/>
      <c r="L101" s="33"/>
      <c r="M101" s="145"/>
      <c r="T101" s="54"/>
      <c r="AT101" s="18" t="s">
        <v>187</v>
      </c>
      <c r="AU101" s="18" t="s">
        <v>87</v>
      </c>
    </row>
    <row r="102" spans="2:47" s="1" customFormat="1" ht="11.25">
      <c r="B102" s="33"/>
      <c r="D102" s="146" t="s">
        <v>189</v>
      </c>
      <c r="F102" s="147" t="s">
        <v>1592</v>
      </c>
      <c r="I102" s="144"/>
      <c r="L102" s="33"/>
      <c r="M102" s="145"/>
      <c r="T102" s="54"/>
      <c r="AT102" s="18" t="s">
        <v>189</v>
      </c>
      <c r="AU102" s="18" t="s">
        <v>87</v>
      </c>
    </row>
    <row r="103" spans="2:47" s="1" customFormat="1" ht="29.25">
      <c r="B103" s="33"/>
      <c r="D103" s="142" t="s">
        <v>191</v>
      </c>
      <c r="F103" s="148" t="s">
        <v>1593</v>
      </c>
      <c r="I103" s="144"/>
      <c r="L103" s="33"/>
      <c r="M103" s="145"/>
      <c r="T103" s="54"/>
      <c r="AT103" s="18" t="s">
        <v>191</v>
      </c>
      <c r="AU103" s="18" t="s">
        <v>87</v>
      </c>
    </row>
    <row r="104" spans="2:65" s="1" customFormat="1" ht="24.2" customHeight="1">
      <c r="B104" s="128"/>
      <c r="C104" s="129" t="s">
        <v>185</v>
      </c>
      <c r="D104" s="129" t="s">
        <v>180</v>
      </c>
      <c r="E104" s="130" t="s">
        <v>1594</v>
      </c>
      <c r="F104" s="131" t="s">
        <v>1595</v>
      </c>
      <c r="G104" s="132" t="s">
        <v>332</v>
      </c>
      <c r="H104" s="133">
        <v>12</v>
      </c>
      <c r="I104" s="134"/>
      <c r="J104" s="135">
        <f>ROUND(I104*H104,2)</f>
        <v>0</v>
      </c>
      <c r="K104" s="131" t="s">
        <v>184</v>
      </c>
      <c r="L104" s="33"/>
      <c r="M104" s="136" t="s">
        <v>3</v>
      </c>
      <c r="N104" s="137" t="s">
        <v>48</v>
      </c>
      <c r="P104" s="138">
        <f>O104*H104</f>
        <v>0</v>
      </c>
      <c r="Q104" s="138">
        <v>0</v>
      </c>
      <c r="R104" s="138">
        <f>Q104*H104</f>
        <v>0</v>
      </c>
      <c r="S104" s="138">
        <v>0</v>
      </c>
      <c r="T104" s="139">
        <f>S104*H104</f>
        <v>0</v>
      </c>
      <c r="AR104" s="140" t="s">
        <v>185</v>
      </c>
      <c r="AT104" s="140" t="s">
        <v>180</v>
      </c>
      <c r="AU104" s="140" t="s">
        <v>87</v>
      </c>
      <c r="AY104" s="18" t="s">
        <v>177</v>
      </c>
      <c r="BE104" s="141">
        <f>IF(N104="základní",J104,0)</f>
        <v>0</v>
      </c>
      <c r="BF104" s="141">
        <f>IF(N104="snížená",J104,0)</f>
        <v>0</v>
      </c>
      <c r="BG104" s="141">
        <f>IF(N104="zákl. přenesená",J104,0)</f>
        <v>0</v>
      </c>
      <c r="BH104" s="141">
        <f>IF(N104="sníž. přenesená",J104,0)</f>
        <v>0</v>
      </c>
      <c r="BI104" s="141">
        <f>IF(N104="nulová",J104,0)</f>
        <v>0</v>
      </c>
      <c r="BJ104" s="18" t="s">
        <v>85</v>
      </c>
      <c r="BK104" s="141">
        <f>ROUND(I104*H104,2)</f>
        <v>0</v>
      </c>
      <c r="BL104" s="18" t="s">
        <v>185</v>
      </c>
      <c r="BM104" s="140" t="s">
        <v>1801</v>
      </c>
    </row>
    <row r="105" spans="2:47" s="1" customFormat="1" ht="19.5">
      <c r="B105" s="33"/>
      <c r="D105" s="142" t="s">
        <v>187</v>
      </c>
      <c r="F105" s="143" t="s">
        <v>1597</v>
      </c>
      <c r="I105" s="144"/>
      <c r="L105" s="33"/>
      <c r="M105" s="145"/>
      <c r="T105" s="54"/>
      <c r="AT105" s="18" t="s">
        <v>187</v>
      </c>
      <c r="AU105" s="18" t="s">
        <v>87</v>
      </c>
    </row>
    <row r="106" spans="2:47" s="1" customFormat="1" ht="11.25">
      <c r="B106" s="33"/>
      <c r="D106" s="146" t="s">
        <v>189</v>
      </c>
      <c r="F106" s="147" t="s">
        <v>1598</v>
      </c>
      <c r="I106" s="144"/>
      <c r="L106" s="33"/>
      <c r="M106" s="145"/>
      <c r="T106" s="54"/>
      <c r="AT106" s="18" t="s">
        <v>189</v>
      </c>
      <c r="AU106" s="18" t="s">
        <v>87</v>
      </c>
    </row>
    <row r="107" spans="2:47" s="1" customFormat="1" ht="29.25">
      <c r="B107" s="33"/>
      <c r="D107" s="142" t="s">
        <v>191</v>
      </c>
      <c r="F107" s="148" t="s">
        <v>1593</v>
      </c>
      <c r="I107" s="144"/>
      <c r="L107" s="33"/>
      <c r="M107" s="145"/>
      <c r="T107" s="54"/>
      <c r="AT107" s="18" t="s">
        <v>191</v>
      </c>
      <c r="AU107" s="18" t="s">
        <v>87</v>
      </c>
    </row>
    <row r="108" spans="2:63" s="11" customFormat="1" ht="22.9" customHeight="1">
      <c r="B108" s="116"/>
      <c r="D108" s="117" t="s">
        <v>76</v>
      </c>
      <c r="E108" s="126" t="s">
        <v>252</v>
      </c>
      <c r="F108" s="126" t="s">
        <v>329</v>
      </c>
      <c r="I108" s="119"/>
      <c r="J108" s="127">
        <f>BK108</f>
        <v>0</v>
      </c>
      <c r="L108" s="116"/>
      <c r="M108" s="121"/>
      <c r="P108" s="122">
        <f>SUM(P109:P257)</f>
        <v>0</v>
      </c>
      <c r="R108" s="122">
        <f>SUM(R109:R257)</f>
        <v>7.950743869909998</v>
      </c>
      <c r="T108" s="123">
        <f>SUM(T109:T257)</f>
        <v>192.940026</v>
      </c>
      <c r="AR108" s="117" t="s">
        <v>85</v>
      </c>
      <c r="AT108" s="124" t="s">
        <v>76</v>
      </c>
      <c r="AU108" s="124" t="s">
        <v>85</v>
      </c>
      <c r="AY108" s="117" t="s">
        <v>177</v>
      </c>
      <c r="BK108" s="125">
        <f>SUM(BK109:BK257)</f>
        <v>0</v>
      </c>
    </row>
    <row r="109" spans="2:65" s="1" customFormat="1" ht="33" customHeight="1">
      <c r="B109" s="128"/>
      <c r="C109" s="129" t="s">
        <v>200</v>
      </c>
      <c r="D109" s="129" t="s">
        <v>180</v>
      </c>
      <c r="E109" s="130" t="s">
        <v>681</v>
      </c>
      <c r="F109" s="131" t="s">
        <v>682</v>
      </c>
      <c r="G109" s="132" t="s">
        <v>332</v>
      </c>
      <c r="H109" s="133">
        <v>328.8</v>
      </c>
      <c r="I109" s="134"/>
      <c r="J109" s="135">
        <f>ROUND(I109*H109,2)</f>
        <v>0</v>
      </c>
      <c r="K109" s="131" t="s">
        <v>184</v>
      </c>
      <c r="L109" s="33"/>
      <c r="M109" s="136" t="s">
        <v>3</v>
      </c>
      <c r="N109" s="137" t="s">
        <v>48</v>
      </c>
      <c r="P109" s="138">
        <f>O109*H109</f>
        <v>0</v>
      </c>
      <c r="Q109" s="138">
        <v>0.00013</v>
      </c>
      <c r="R109" s="138">
        <f>Q109*H109</f>
        <v>0.042744</v>
      </c>
      <c r="S109" s="138">
        <v>0</v>
      </c>
      <c r="T109" s="139">
        <f>S109*H109</f>
        <v>0</v>
      </c>
      <c r="AR109" s="140" t="s">
        <v>185</v>
      </c>
      <c r="AT109" s="140" t="s">
        <v>180</v>
      </c>
      <c r="AU109" s="140" t="s">
        <v>87</v>
      </c>
      <c r="AY109" s="18" t="s">
        <v>177</v>
      </c>
      <c r="BE109" s="141">
        <f>IF(N109="základní",J109,0)</f>
        <v>0</v>
      </c>
      <c r="BF109" s="141">
        <f>IF(N109="snížená",J109,0)</f>
        <v>0</v>
      </c>
      <c r="BG109" s="141">
        <f>IF(N109="zákl. přenesená",J109,0)</f>
        <v>0</v>
      </c>
      <c r="BH109" s="141">
        <f>IF(N109="sníž. přenesená",J109,0)</f>
        <v>0</v>
      </c>
      <c r="BI109" s="141">
        <f>IF(N109="nulová",J109,0)</f>
        <v>0</v>
      </c>
      <c r="BJ109" s="18" t="s">
        <v>85</v>
      </c>
      <c r="BK109" s="141">
        <f>ROUND(I109*H109,2)</f>
        <v>0</v>
      </c>
      <c r="BL109" s="18" t="s">
        <v>185</v>
      </c>
      <c r="BM109" s="140" t="s">
        <v>1802</v>
      </c>
    </row>
    <row r="110" spans="2:47" s="1" customFormat="1" ht="19.5">
      <c r="B110" s="33"/>
      <c r="D110" s="142" t="s">
        <v>187</v>
      </c>
      <c r="F110" s="143" t="s">
        <v>684</v>
      </c>
      <c r="I110" s="144"/>
      <c r="L110" s="33"/>
      <c r="M110" s="145"/>
      <c r="T110" s="54"/>
      <c r="AT110" s="18" t="s">
        <v>187</v>
      </c>
      <c r="AU110" s="18" t="s">
        <v>87</v>
      </c>
    </row>
    <row r="111" spans="2:47" s="1" customFormat="1" ht="11.25">
      <c r="B111" s="33"/>
      <c r="D111" s="146" t="s">
        <v>189</v>
      </c>
      <c r="F111" s="147" t="s">
        <v>685</v>
      </c>
      <c r="I111" s="144"/>
      <c r="L111" s="33"/>
      <c r="M111" s="145"/>
      <c r="T111" s="54"/>
      <c r="AT111" s="18" t="s">
        <v>189</v>
      </c>
      <c r="AU111" s="18" t="s">
        <v>87</v>
      </c>
    </row>
    <row r="112" spans="2:47" s="1" customFormat="1" ht="78">
      <c r="B112" s="33"/>
      <c r="D112" s="142" t="s">
        <v>191</v>
      </c>
      <c r="F112" s="148" t="s">
        <v>336</v>
      </c>
      <c r="I112" s="144"/>
      <c r="L112" s="33"/>
      <c r="M112" s="145"/>
      <c r="T112" s="54"/>
      <c r="AT112" s="18" t="s">
        <v>191</v>
      </c>
      <c r="AU112" s="18" t="s">
        <v>87</v>
      </c>
    </row>
    <row r="113" spans="2:51" s="12" customFormat="1" ht="11.25">
      <c r="B113" s="149"/>
      <c r="D113" s="142" t="s">
        <v>193</v>
      </c>
      <c r="E113" s="150" t="s">
        <v>3</v>
      </c>
      <c r="F113" s="151" t="s">
        <v>993</v>
      </c>
      <c r="H113" s="152">
        <v>328.8</v>
      </c>
      <c r="I113" s="153"/>
      <c r="L113" s="149"/>
      <c r="M113" s="154"/>
      <c r="T113" s="155"/>
      <c r="AT113" s="150" t="s">
        <v>193</v>
      </c>
      <c r="AU113" s="150" t="s">
        <v>87</v>
      </c>
      <c r="AV113" s="12" t="s">
        <v>87</v>
      </c>
      <c r="AW113" s="12" t="s">
        <v>36</v>
      </c>
      <c r="AX113" s="12" t="s">
        <v>77</v>
      </c>
      <c r="AY113" s="150" t="s">
        <v>177</v>
      </c>
    </row>
    <row r="114" spans="2:51" s="15" customFormat="1" ht="11.25">
      <c r="B114" s="169"/>
      <c r="D114" s="142" t="s">
        <v>193</v>
      </c>
      <c r="E114" s="170" t="s">
        <v>3</v>
      </c>
      <c r="F114" s="171" t="s">
        <v>201</v>
      </c>
      <c r="H114" s="172">
        <v>328.8</v>
      </c>
      <c r="I114" s="173"/>
      <c r="L114" s="169"/>
      <c r="M114" s="174"/>
      <c r="T114" s="175"/>
      <c r="AT114" s="170" t="s">
        <v>193</v>
      </c>
      <c r="AU114" s="170" t="s">
        <v>87</v>
      </c>
      <c r="AV114" s="15" t="s">
        <v>185</v>
      </c>
      <c r="AW114" s="15" t="s">
        <v>36</v>
      </c>
      <c r="AX114" s="15" t="s">
        <v>85</v>
      </c>
      <c r="AY114" s="170" t="s">
        <v>177</v>
      </c>
    </row>
    <row r="115" spans="2:65" s="1" customFormat="1" ht="24.2" customHeight="1">
      <c r="B115" s="128"/>
      <c r="C115" s="129" t="s">
        <v>233</v>
      </c>
      <c r="D115" s="129" t="s">
        <v>180</v>
      </c>
      <c r="E115" s="130" t="s">
        <v>339</v>
      </c>
      <c r="F115" s="131" t="s">
        <v>340</v>
      </c>
      <c r="G115" s="132" t="s">
        <v>332</v>
      </c>
      <c r="H115" s="133">
        <v>328.8</v>
      </c>
      <c r="I115" s="134"/>
      <c r="J115" s="135">
        <f>ROUND(I115*H115,2)</f>
        <v>0</v>
      </c>
      <c r="K115" s="131" t="s">
        <v>184</v>
      </c>
      <c r="L115" s="33"/>
      <c r="M115" s="136" t="s">
        <v>3</v>
      </c>
      <c r="N115" s="137" t="s">
        <v>48</v>
      </c>
      <c r="P115" s="138">
        <f>O115*H115</f>
        <v>0</v>
      </c>
      <c r="Q115" s="138">
        <v>3.5E-05</v>
      </c>
      <c r="R115" s="138">
        <f>Q115*H115</f>
        <v>0.011508</v>
      </c>
      <c r="S115" s="138">
        <v>0</v>
      </c>
      <c r="T115" s="139">
        <f>S115*H115</f>
        <v>0</v>
      </c>
      <c r="AR115" s="140" t="s">
        <v>185</v>
      </c>
      <c r="AT115" s="140" t="s">
        <v>180</v>
      </c>
      <c r="AU115" s="140" t="s">
        <v>87</v>
      </c>
      <c r="AY115" s="18" t="s">
        <v>177</v>
      </c>
      <c r="BE115" s="141">
        <f>IF(N115="základní",J115,0)</f>
        <v>0</v>
      </c>
      <c r="BF115" s="141">
        <f>IF(N115="snížená",J115,0)</f>
        <v>0</v>
      </c>
      <c r="BG115" s="141">
        <f>IF(N115="zákl. přenesená",J115,0)</f>
        <v>0</v>
      </c>
      <c r="BH115" s="141">
        <f>IF(N115="sníž. přenesená",J115,0)</f>
        <v>0</v>
      </c>
      <c r="BI115" s="141">
        <f>IF(N115="nulová",J115,0)</f>
        <v>0</v>
      </c>
      <c r="BJ115" s="18" t="s">
        <v>85</v>
      </c>
      <c r="BK115" s="141">
        <f>ROUND(I115*H115,2)</f>
        <v>0</v>
      </c>
      <c r="BL115" s="18" t="s">
        <v>185</v>
      </c>
      <c r="BM115" s="140" t="s">
        <v>1803</v>
      </c>
    </row>
    <row r="116" spans="2:47" s="1" customFormat="1" ht="19.5">
      <c r="B116" s="33"/>
      <c r="D116" s="142" t="s">
        <v>187</v>
      </c>
      <c r="F116" s="143" t="s">
        <v>342</v>
      </c>
      <c r="I116" s="144"/>
      <c r="L116" s="33"/>
      <c r="M116" s="145"/>
      <c r="T116" s="54"/>
      <c r="AT116" s="18" t="s">
        <v>187</v>
      </c>
      <c r="AU116" s="18" t="s">
        <v>87</v>
      </c>
    </row>
    <row r="117" spans="2:47" s="1" customFormat="1" ht="11.25">
      <c r="B117" s="33"/>
      <c r="D117" s="146" t="s">
        <v>189</v>
      </c>
      <c r="F117" s="147" t="s">
        <v>343</v>
      </c>
      <c r="I117" s="144"/>
      <c r="L117" s="33"/>
      <c r="M117" s="145"/>
      <c r="T117" s="54"/>
      <c r="AT117" s="18" t="s">
        <v>189</v>
      </c>
      <c r="AU117" s="18" t="s">
        <v>87</v>
      </c>
    </row>
    <row r="118" spans="2:47" s="1" customFormat="1" ht="273">
      <c r="B118" s="33"/>
      <c r="D118" s="142" t="s">
        <v>191</v>
      </c>
      <c r="F118" s="148" t="s">
        <v>344</v>
      </c>
      <c r="I118" s="144"/>
      <c r="L118" s="33"/>
      <c r="M118" s="145"/>
      <c r="T118" s="54"/>
      <c r="AT118" s="18" t="s">
        <v>191</v>
      </c>
      <c r="AU118" s="18" t="s">
        <v>87</v>
      </c>
    </row>
    <row r="119" spans="2:65" s="1" customFormat="1" ht="21.75" customHeight="1">
      <c r="B119" s="128"/>
      <c r="C119" s="129" t="s">
        <v>241</v>
      </c>
      <c r="D119" s="129" t="s">
        <v>180</v>
      </c>
      <c r="E119" s="130" t="s">
        <v>1478</v>
      </c>
      <c r="F119" s="131" t="s">
        <v>1479</v>
      </c>
      <c r="G119" s="132" t="s">
        <v>332</v>
      </c>
      <c r="H119" s="133">
        <v>255.161</v>
      </c>
      <c r="I119" s="134"/>
      <c r="J119" s="135">
        <f>ROUND(I119*H119,2)</f>
        <v>0</v>
      </c>
      <c r="K119" s="131" t="s">
        <v>184</v>
      </c>
      <c r="L119" s="33"/>
      <c r="M119" s="136" t="s">
        <v>3</v>
      </c>
      <c r="N119" s="137" t="s">
        <v>48</v>
      </c>
      <c r="P119" s="138">
        <f>O119*H119</f>
        <v>0</v>
      </c>
      <c r="Q119" s="138">
        <v>0</v>
      </c>
      <c r="R119" s="138">
        <f>Q119*H119</f>
        <v>0</v>
      </c>
      <c r="S119" s="138">
        <v>0.261</v>
      </c>
      <c r="T119" s="139">
        <f>S119*H119</f>
        <v>66.597021</v>
      </c>
      <c r="AR119" s="140" t="s">
        <v>185</v>
      </c>
      <c r="AT119" s="140" t="s">
        <v>180</v>
      </c>
      <c r="AU119" s="140" t="s">
        <v>87</v>
      </c>
      <c r="AY119" s="18" t="s">
        <v>177</v>
      </c>
      <c r="BE119" s="141">
        <f>IF(N119="základní",J119,0)</f>
        <v>0</v>
      </c>
      <c r="BF119" s="141">
        <f>IF(N119="snížená",J119,0)</f>
        <v>0</v>
      </c>
      <c r="BG119" s="141">
        <f>IF(N119="zákl. přenesená",J119,0)</f>
        <v>0</v>
      </c>
      <c r="BH119" s="141">
        <f>IF(N119="sníž. přenesená",J119,0)</f>
        <v>0</v>
      </c>
      <c r="BI119" s="141">
        <f>IF(N119="nulová",J119,0)</f>
        <v>0</v>
      </c>
      <c r="BJ119" s="18" t="s">
        <v>85</v>
      </c>
      <c r="BK119" s="141">
        <f>ROUND(I119*H119,2)</f>
        <v>0</v>
      </c>
      <c r="BL119" s="18" t="s">
        <v>185</v>
      </c>
      <c r="BM119" s="140" t="s">
        <v>1804</v>
      </c>
    </row>
    <row r="120" spans="2:47" s="1" customFormat="1" ht="29.25">
      <c r="B120" s="33"/>
      <c r="D120" s="142" t="s">
        <v>187</v>
      </c>
      <c r="F120" s="143" t="s">
        <v>1481</v>
      </c>
      <c r="I120" s="144"/>
      <c r="L120" s="33"/>
      <c r="M120" s="145"/>
      <c r="T120" s="54"/>
      <c r="AT120" s="18" t="s">
        <v>187</v>
      </c>
      <c r="AU120" s="18" t="s">
        <v>87</v>
      </c>
    </row>
    <row r="121" spans="2:47" s="1" customFormat="1" ht="11.25">
      <c r="B121" s="33"/>
      <c r="D121" s="146" t="s">
        <v>189</v>
      </c>
      <c r="F121" s="147" t="s">
        <v>1482</v>
      </c>
      <c r="I121" s="144"/>
      <c r="L121" s="33"/>
      <c r="M121" s="145"/>
      <c r="T121" s="54"/>
      <c r="AT121" s="18" t="s">
        <v>189</v>
      </c>
      <c r="AU121" s="18" t="s">
        <v>87</v>
      </c>
    </row>
    <row r="122" spans="2:51" s="12" customFormat="1" ht="22.5">
      <c r="B122" s="149"/>
      <c r="D122" s="142" t="s">
        <v>193</v>
      </c>
      <c r="E122" s="150" t="s">
        <v>3</v>
      </c>
      <c r="F122" s="151" t="s">
        <v>1805</v>
      </c>
      <c r="H122" s="152">
        <v>274.841</v>
      </c>
      <c r="I122" s="153"/>
      <c r="L122" s="149"/>
      <c r="M122" s="154"/>
      <c r="T122" s="155"/>
      <c r="AT122" s="150" t="s">
        <v>193</v>
      </c>
      <c r="AU122" s="150" t="s">
        <v>87</v>
      </c>
      <c r="AV122" s="12" t="s">
        <v>87</v>
      </c>
      <c r="AW122" s="12" t="s">
        <v>36</v>
      </c>
      <c r="AX122" s="12" t="s">
        <v>77</v>
      </c>
      <c r="AY122" s="150" t="s">
        <v>177</v>
      </c>
    </row>
    <row r="123" spans="2:51" s="12" customFormat="1" ht="11.25">
      <c r="B123" s="149"/>
      <c r="D123" s="142" t="s">
        <v>193</v>
      </c>
      <c r="E123" s="150" t="s">
        <v>3</v>
      </c>
      <c r="F123" s="151" t="s">
        <v>1806</v>
      </c>
      <c r="H123" s="152">
        <v>-19.68</v>
      </c>
      <c r="I123" s="153"/>
      <c r="L123" s="149"/>
      <c r="M123" s="154"/>
      <c r="T123" s="155"/>
      <c r="AT123" s="150" t="s">
        <v>193</v>
      </c>
      <c r="AU123" s="150" t="s">
        <v>87</v>
      </c>
      <c r="AV123" s="12" t="s">
        <v>87</v>
      </c>
      <c r="AW123" s="12" t="s">
        <v>36</v>
      </c>
      <c r="AX123" s="12" t="s">
        <v>77</v>
      </c>
      <c r="AY123" s="150" t="s">
        <v>177</v>
      </c>
    </row>
    <row r="124" spans="2:51" s="15" customFormat="1" ht="11.25">
      <c r="B124" s="169"/>
      <c r="D124" s="142" t="s">
        <v>193</v>
      </c>
      <c r="E124" s="170" t="s">
        <v>3</v>
      </c>
      <c r="F124" s="171" t="s">
        <v>201</v>
      </c>
      <c r="H124" s="172">
        <v>255.161</v>
      </c>
      <c r="I124" s="173"/>
      <c r="L124" s="169"/>
      <c r="M124" s="174"/>
      <c r="T124" s="175"/>
      <c r="AT124" s="170" t="s">
        <v>193</v>
      </c>
      <c r="AU124" s="170" t="s">
        <v>87</v>
      </c>
      <c r="AV124" s="15" t="s">
        <v>185</v>
      </c>
      <c r="AW124" s="15" t="s">
        <v>36</v>
      </c>
      <c r="AX124" s="15" t="s">
        <v>85</v>
      </c>
      <c r="AY124" s="170" t="s">
        <v>177</v>
      </c>
    </row>
    <row r="125" spans="2:65" s="1" customFormat="1" ht="24.2" customHeight="1">
      <c r="B125" s="128"/>
      <c r="C125" s="129" t="s">
        <v>248</v>
      </c>
      <c r="D125" s="129" t="s">
        <v>180</v>
      </c>
      <c r="E125" s="130" t="s">
        <v>1807</v>
      </c>
      <c r="F125" s="131" t="s">
        <v>1808</v>
      </c>
      <c r="G125" s="132" t="s">
        <v>806</v>
      </c>
      <c r="H125" s="133">
        <v>2.222</v>
      </c>
      <c r="I125" s="134"/>
      <c r="J125" s="135">
        <f>ROUND(I125*H125,2)</f>
        <v>0</v>
      </c>
      <c r="K125" s="131" t="s">
        <v>184</v>
      </c>
      <c r="L125" s="33"/>
      <c r="M125" s="136" t="s">
        <v>3</v>
      </c>
      <c r="N125" s="137" t="s">
        <v>48</v>
      </c>
      <c r="P125" s="138">
        <f>O125*H125</f>
        <v>0</v>
      </c>
      <c r="Q125" s="138">
        <v>0</v>
      </c>
      <c r="R125" s="138">
        <f>Q125*H125</f>
        <v>0</v>
      </c>
      <c r="S125" s="138">
        <v>1.95</v>
      </c>
      <c r="T125" s="139">
        <f>S125*H125</f>
        <v>4.3328999999999995</v>
      </c>
      <c r="AR125" s="140" t="s">
        <v>185</v>
      </c>
      <c r="AT125" s="140" t="s">
        <v>180</v>
      </c>
      <c r="AU125" s="140" t="s">
        <v>87</v>
      </c>
      <c r="AY125" s="18" t="s">
        <v>177</v>
      </c>
      <c r="BE125" s="141">
        <f>IF(N125="základní",J125,0)</f>
        <v>0</v>
      </c>
      <c r="BF125" s="141">
        <f>IF(N125="snížená",J125,0)</f>
        <v>0</v>
      </c>
      <c r="BG125" s="141">
        <f>IF(N125="zákl. přenesená",J125,0)</f>
        <v>0</v>
      </c>
      <c r="BH125" s="141">
        <f>IF(N125="sníž. přenesená",J125,0)</f>
        <v>0</v>
      </c>
      <c r="BI125" s="141">
        <f>IF(N125="nulová",J125,0)</f>
        <v>0</v>
      </c>
      <c r="BJ125" s="18" t="s">
        <v>85</v>
      </c>
      <c r="BK125" s="141">
        <f>ROUND(I125*H125,2)</f>
        <v>0</v>
      </c>
      <c r="BL125" s="18" t="s">
        <v>185</v>
      </c>
      <c r="BM125" s="140" t="s">
        <v>1809</v>
      </c>
    </row>
    <row r="126" spans="2:47" s="1" customFormat="1" ht="19.5">
      <c r="B126" s="33"/>
      <c r="D126" s="142" t="s">
        <v>187</v>
      </c>
      <c r="F126" s="143" t="s">
        <v>1810</v>
      </c>
      <c r="I126" s="144"/>
      <c r="L126" s="33"/>
      <c r="M126" s="145"/>
      <c r="T126" s="54"/>
      <c r="AT126" s="18" t="s">
        <v>187</v>
      </c>
      <c r="AU126" s="18" t="s">
        <v>87</v>
      </c>
    </row>
    <row r="127" spans="2:47" s="1" customFormat="1" ht="11.25">
      <c r="B127" s="33"/>
      <c r="D127" s="146" t="s">
        <v>189</v>
      </c>
      <c r="F127" s="147" t="s">
        <v>1811</v>
      </c>
      <c r="I127" s="144"/>
      <c r="L127" s="33"/>
      <c r="M127" s="145"/>
      <c r="T127" s="54"/>
      <c r="AT127" s="18" t="s">
        <v>189</v>
      </c>
      <c r="AU127" s="18" t="s">
        <v>87</v>
      </c>
    </row>
    <row r="128" spans="2:47" s="1" customFormat="1" ht="48.75">
      <c r="B128" s="33"/>
      <c r="D128" s="142" t="s">
        <v>191</v>
      </c>
      <c r="F128" s="148" t="s">
        <v>1812</v>
      </c>
      <c r="I128" s="144"/>
      <c r="L128" s="33"/>
      <c r="M128" s="145"/>
      <c r="T128" s="54"/>
      <c r="AT128" s="18" t="s">
        <v>191</v>
      </c>
      <c r="AU128" s="18" t="s">
        <v>87</v>
      </c>
    </row>
    <row r="129" spans="2:51" s="13" customFormat="1" ht="11.25">
      <c r="B129" s="156"/>
      <c r="D129" s="142" t="s">
        <v>193</v>
      </c>
      <c r="E129" s="157" t="s">
        <v>3</v>
      </c>
      <c r="F129" s="158" t="s">
        <v>1813</v>
      </c>
      <c r="H129" s="157" t="s">
        <v>3</v>
      </c>
      <c r="I129" s="159"/>
      <c r="L129" s="156"/>
      <c r="M129" s="160"/>
      <c r="T129" s="161"/>
      <c r="AT129" s="157" t="s">
        <v>193</v>
      </c>
      <c r="AU129" s="157" t="s">
        <v>87</v>
      </c>
      <c r="AV129" s="13" t="s">
        <v>85</v>
      </c>
      <c r="AW129" s="13" t="s">
        <v>36</v>
      </c>
      <c r="AX129" s="13" t="s">
        <v>77</v>
      </c>
      <c r="AY129" s="157" t="s">
        <v>177</v>
      </c>
    </row>
    <row r="130" spans="2:51" s="12" customFormat="1" ht="11.25">
      <c r="B130" s="149"/>
      <c r="D130" s="142" t="s">
        <v>193</v>
      </c>
      <c r="E130" s="150" t="s">
        <v>3</v>
      </c>
      <c r="F130" s="151" t="s">
        <v>1814</v>
      </c>
      <c r="H130" s="152">
        <v>2.222</v>
      </c>
      <c r="I130" s="153"/>
      <c r="L130" s="149"/>
      <c r="M130" s="154"/>
      <c r="T130" s="155"/>
      <c r="AT130" s="150" t="s">
        <v>193</v>
      </c>
      <c r="AU130" s="150" t="s">
        <v>87</v>
      </c>
      <c r="AV130" s="12" t="s">
        <v>87</v>
      </c>
      <c r="AW130" s="12" t="s">
        <v>36</v>
      </c>
      <c r="AX130" s="12" t="s">
        <v>85</v>
      </c>
      <c r="AY130" s="150" t="s">
        <v>177</v>
      </c>
    </row>
    <row r="131" spans="2:65" s="1" customFormat="1" ht="16.5" customHeight="1">
      <c r="B131" s="128"/>
      <c r="C131" s="129" t="s">
        <v>252</v>
      </c>
      <c r="D131" s="129" t="s">
        <v>180</v>
      </c>
      <c r="E131" s="130" t="s">
        <v>1603</v>
      </c>
      <c r="F131" s="131" t="s">
        <v>1604</v>
      </c>
      <c r="G131" s="132" t="s">
        <v>806</v>
      </c>
      <c r="H131" s="133">
        <v>1.374</v>
      </c>
      <c r="I131" s="134"/>
      <c r="J131" s="135">
        <f>ROUND(I131*H131,2)</f>
        <v>0</v>
      </c>
      <c r="K131" s="131" t="s">
        <v>184</v>
      </c>
      <c r="L131" s="33"/>
      <c r="M131" s="136" t="s">
        <v>3</v>
      </c>
      <c r="N131" s="137" t="s">
        <v>48</v>
      </c>
      <c r="P131" s="138">
        <f>O131*H131</f>
        <v>0</v>
      </c>
      <c r="Q131" s="138">
        <v>0</v>
      </c>
      <c r="R131" s="138">
        <f>Q131*H131</f>
        <v>0</v>
      </c>
      <c r="S131" s="138">
        <v>2.4</v>
      </c>
      <c r="T131" s="139">
        <f>S131*H131</f>
        <v>3.2976</v>
      </c>
      <c r="AR131" s="140" t="s">
        <v>185</v>
      </c>
      <c r="AT131" s="140" t="s">
        <v>180</v>
      </c>
      <c r="AU131" s="140" t="s">
        <v>87</v>
      </c>
      <c r="AY131" s="18" t="s">
        <v>177</v>
      </c>
      <c r="BE131" s="141">
        <f>IF(N131="základní",J131,0)</f>
        <v>0</v>
      </c>
      <c r="BF131" s="141">
        <f>IF(N131="snížená",J131,0)</f>
        <v>0</v>
      </c>
      <c r="BG131" s="141">
        <f>IF(N131="zákl. přenesená",J131,0)</f>
        <v>0</v>
      </c>
      <c r="BH131" s="141">
        <f>IF(N131="sníž. přenesená",J131,0)</f>
        <v>0</v>
      </c>
      <c r="BI131" s="141">
        <f>IF(N131="nulová",J131,0)</f>
        <v>0</v>
      </c>
      <c r="BJ131" s="18" t="s">
        <v>85</v>
      </c>
      <c r="BK131" s="141">
        <f>ROUND(I131*H131,2)</f>
        <v>0</v>
      </c>
      <c r="BL131" s="18" t="s">
        <v>185</v>
      </c>
      <c r="BM131" s="140" t="s">
        <v>1815</v>
      </c>
    </row>
    <row r="132" spans="2:47" s="1" customFormat="1" ht="11.25">
      <c r="B132" s="33"/>
      <c r="D132" s="142" t="s">
        <v>187</v>
      </c>
      <c r="F132" s="143" t="s">
        <v>1606</v>
      </c>
      <c r="I132" s="144"/>
      <c r="L132" s="33"/>
      <c r="M132" s="145"/>
      <c r="T132" s="54"/>
      <c r="AT132" s="18" t="s">
        <v>187</v>
      </c>
      <c r="AU132" s="18" t="s">
        <v>87</v>
      </c>
    </row>
    <row r="133" spans="2:47" s="1" customFormat="1" ht="11.25">
      <c r="B133" s="33"/>
      <c r="D133" s="146" t="s">
        <v>189</v>
      </c>
      <c r="F133" s="147" t="s">
        <v>1607</v>
      </c>
      <c r="I133" s="144"/>
      <c r="L133" s="33"/>
      <c r="M133" s="145"/>
      <c r="T133" s="54"/>
      <c r="AT133" s="18" t="s">
        <v>189</v>
      </c>
      <c r="AU133" s="18" t="s">
        <v>87</v>
      </c>
    </row>
    <row r="134" spans="2:47" s="1" customFormat="1" ht="39">
      <c r="B134" s="33"/>
      <c r="D134" s="142" t="s">
        <v>191</v>
      </c>
      <c r="F134" s="148" t="s">
        <v>1608</v>
      </c>
      <c r="I134" s="144"/>
      <c r="L134" s="33"/>
      <c r="M134" s="145"/>
      <c r="T134" s="54"/>
      <c r="AT134" s="18" t="s">
        <v>191</v>
      </c>
      <c r="AU134" s="18" t="s">
        <v>87</v>
      </c>
    </row>
    <row r="135" spans="2:51" s="13" customFormat="1" ht="11.25">
      <c r="B135" s="156"/>
      <c r="D135" s="142" t="s">
        <v>193</v>
      </c>
      <c r="E135" s="157" t="s">
        <v>3</v>
      </c>
      <c r="F135" s="158" t="s">
        <v>1797</v>
      </c>
      <c r="H135" s="157" t="s">
        <v>3</v>
      </c>
      <c r="I135" s="159"/>
      <c r="L135" s="156"/>
      <c r="M135" s="160"/>
      <c r="T135" s="161"/>
      <c r="AT135" s="157" t="s">
        <v>193</v>
      </c>
      <c r="AU135" s="157" t="s">
        <v>87</v>
      </c>
      <c r="AV135" s="13" t="s">
        <v>85</v>
      </c>
      <c r="AW135" s="13" t="s">
        <v>36</v>
      </c>
      <c r="AX135" s="13" t="s">
        <v>77</v>
      </c>
      <c r="AY135" s="157" t="s">
        <v>177</v>
      </c>
    </row>
    <row r="136" spans="2:51" s="12" customFormat="1" ht="11.25">
      <c r="B136" s="149"/>
      <c r="D136" s="142" t="s">
        <v>193</v>
      </c>
      <c r="E136" s="150" t="s">
        <v>3</v>
      </c>
      <c r="F136" s="151" t="s">
        <v>1816</v>
      </c>
      <c r="H136" s="152">
        <v>1.374</v>
      </c>
      <c r="I136" s="153"/>
      <c r="L136" s="149"/>
      <c r="M136" s="154"/>
      <c r="T136" s="155"/>
      <c r="AT136" s="150" t="s">
        <v>193</v>
      </c>
      <c r="AU136" s="150" t="s">
        <v>87</v>
      </c>
      <c r="AV136" s="12" t="s">
        <v>87</v>
      </c>
      <c r="AW136" s="12" t="s">
        <v>36</v>
      </c>
      <c r="AX136" s="12" t="s">
        <v>85</v>
      </c>
      <c r="AY136" s="150" t="s">
        <v>177</v>
      </c>
    </row>
    <row r="137" spans="2:65" s="1" customFormat="1" ht="37.9" customHeight="1">
      <c r="B137" s="128"/>
      <c r="C137" s="129" t="s">
        <v>258</v>
      </c>
      <c r="D137" s="129" t="s">
        <v>180</v>
      </c>
      <c r="E137" s="130" t="s">
        <v>1494</v>
      </c>
      <c r="F137" s="131" t="s">
        <v>1495</v>
      </c>
      <c r="G137" s="132" t="s">
        <v>806</v>
      </c>
      <c r="H137" s="133">
        <v>31.124</v>
      </c>
      <c r="I137" s="134"/>
      <c r="J137" s="135">
        <f>ROUND(I137*H137,2)</f>
        <v>0</v>
      </c>
      <c r="K137" s="131" t="s">
        <v>184</v>
      </c>
      <c r="L137" s="33"/>
      <c r="M137" s="136" t="s">
        <v>3</v>
      </c>
      <c r="N137" s="137" t="s">
        <v>48</v>
      </c>
      <c r="P137" s="138">
        <f>O137*H137</f>
        <v>0</v>
      </c>
      <c r="Q137" s="138">
        <v>0</v>
      </c>
      <c r="R137" s="138">
        <f>Q137*H137</f>
        <v>0</v>
      </c>
      <c r="S137" s="138">
        <v>2.2</v>
      </c>
      <c r="T137" s="139">
        <f>S137*H137</f>
        <v>68.4728</v>
      </c>
      <c r="AR137" s="140" t="s">
        <v>185</v>
      </c>
      <c r="AT137" s="140" t="s">
        <v>180</v>
      </c>
      <c r="AU137" s="140" t="s">
        <v>87</v>
      </c>
      <c r="AY137" s="18" t="s">
        <v>177</v>
      </c>
      <c r="BE137" s="141">
        <f>IF(N137="základní",J137,0)</f>
        <v>0</v>
      </c>
      <c r="BF137" s="141">
        <f>IF(N137="snížená",J137,0)</f>
        <v>0</v>
      </c>
      <c r="BG137" s="141">
        <f>IF(N137="zákl. přenesená",J137,0)</f>
        <v>0</v>
      </c>
      <c r="BH137" s="141">
        <f>IF(N137="sníž. přenesená",J137,0)</f>
        <v>0</v>
      </c>
      <c r="BI137" s="141">
        <f>IF(N137="nulová",J137,0)</f>
        <v>0</v>
      </c>
      <c r="BJ137" s="18" t="s">
        <v>85</v>
      </c>
      <c r="BK137" s="141">
        <f>ROUND(I137*H137,2)</f>
        <v>0</v>
      </c>
      <c r="BL137" s="18" t="s">
        <v>185</v>
      </c>
      <c r="BM137" s="140" t="s">
        <v>1817</v>
      </c>
    </row>
    <row r="138" spans="2:47" s="1" customFormat="1" ht="19.5">
      <c r="B138" s="33"/>
      <c r="D138" s="142" t="s">
        <v>187</v>
      </c>
      <c r="F138" s="143" t="s">
        <v>1497</v>
      </c>
      <c r="I138" s="144"/>
      <c r="L138" s="33"/>
      <c r="M138" s="145"/>
      <c r="T138" s="54"/>
      <c r="AT138" s="18" t="s">
        <v>187</v>
      </c>
      <c r="AU138" s="18" t="s">
        <v>87</v>
      </c>
    </row>
    <row r="139" spans="2:47" s="1" customFormat="1" ht="11.25">
      <c r="B139" s="33"/>
      <c r="D139" s="146" t="s">
        <v>189</v>
      </c>
      <c r="F139" s="147" t="s">
        <v>1498</v>
      </c>
      <c r="I139" s="144"/>
      <c r="L139" s="33"/>
      <c r="M139" s="145"/>
      <c r="T139" s="54"/>
      <c r="AT139" s="18" t="s">
        <v>189</v>
      </c>
      <c r="AU139" s="18" t="s">
        <v>87</v>
      </c>
    </row>
    <row r="140" spans="2:51" s="12" customFormat="1" ht="11.25">
      <c r="B140" s="149"/>
      <c r="D140" s="142" t="s">
        <v>193</v>
      </c>
      <c r="E140" s="150" t="s">
        <v>3</v>
      </c>
      <c r="F140" s="151" t="s">
        <v>1818</v>
      </c>
      <c r="H140" s="152">
        <v>31.124</v>
      </c>
      <c r="I140" s="153"/>
      <c r="L140" s="149"/>
      <c r="M140" s="154"/>
      <c r="T140" s="155"/>
      <c r="AT140" s="150" t="s">
        <v>193</v>
      </c>
      <c r="AU140" s="150" t="s">
        <v>87</v>
      </c>
      <c r="AV140" s="12" t="s">
        <v>87</v>
      </c>
      <c r="AW140" s="12" t="s">
        <v>36</v>
      </c>
      <c r="AX140" s="12" t="s">
        <v>85</v>
      </c>
      <c r="AY140" s="150" t="s">
        <v>177</v>
      </c>
    </row>
    <row r="141" spans="2:65" s="1" customFormat="1" ht="33" customHeight="1">
      <c r="B141" s="128"/>
      <c r="C141" s="129" t="s">
        <v>265</v>
      </c>
      <c r="D141" s="129" t="s">
        <v>180</v>
      </c>
      <c r="E141" s="130" t="s">
        <v>1500</v>
      </c>
      <c r="F141" s="131" t="s">
        <v>1501</v>
      </c>
      <c r="G141" s="132" t="s">
        <v>806</v>
      </c>
      <c r="H141" s="133">
        <v>31.124</v>
      </c>
      <c r="I141" s="134"/>
      <c r="J141" s="135">
        <f>ROUND(I141*H141,2)</f>
        <v>0</v>
      </c>
      <c r="K141" s="131" t="s">
        <v>184</v>
      </c>
      <c r="L141" s="33"/>
      <c r="M141" s="136" t="s">
        <v>3</v>
      </c>
      <c r="N141" s="137" t="s">
        <v>48</v>
      </c>
      <c r="P141" s="138">
        <f>O141*H141</f>
        <v>0</v>
      </c>
      <c r="Q141" s="138">
        <v>0</v>
      </c>
      <c r="R141" s="138">
        <f>Q141*H141</f>
        <v>0</v>
      </c>
      <c r="S141" s="138">
        <v>0.044</v>
      </c>
      <c r="T141" s="139">
        <f>S141*H141</f>
        <v>1.3694559999999998</v>
      </c>
      <c r="AR141" s="140" t="s">
        <v>185</v>
      </c>
      <c r="AT141" s="140" t="s">
        <v>180</v>
      </c>
      <c r="AU141" s="140" t="s">
        <v>87</v>
      </c>
      <c r="AY141" s="18" t="s">
        <v>177</v>
      </c>
      <c r="BE141" s="141">
        <f>IF(N141="základní",J141,0)</f>
        <v>0</v>
      </c>
      <c r="BF141" s="141">
        <f>IF(N141="snížená",J141,0)</f>
        <v>0</v>
      </c>
      <c r="BG141" s="141">
        <f>IF(N141="zákl. přenesená",J141,0)</f>
        <v>0</v>
      </c>
      <c r="BH141" s="141">
        <f>IF(N141="sníž. přenesená",J141,0)</f>
        <v>0</v>
      </c>
      <c r="BI141" s="141">
        <f>IF(N141="nulová",J141,0)</f>
        <v>0</v>
      </c>
      <c r="BJ141" s="18" t="s">
        <v>85</v>
      </c>
      <c r="BK141" s="141">
        <f>ROUND(I141*H141,2)</f>
        <v>0</v>
      </c>
      <c r="BL141" s="18" t="s">
        <v>185</v>
      </c>
      <c r="BM141" s="140" t="s">
        <v>1819</v>
      </c>
    </row>
    <row r="142" spans="2:47" s="1" customFormat="1" ht="19.5">
      <c r="B142" s="33"/>
      <c r="D142" s="142" t="s">
        <v>187</v>
      </c>
      <c r="F142" s="143" t="s">
        <v>1503</v>
      </c>
      <c r="I142" s="144"/>
      <c r="L142" s="33"/>
      <c r="M142" s="145"/>
      <c r="T142" s="54"/>
      <c r="AT142" s="18" t="s">
        <v>187</v>
      </c>
      <c r="AU142" s="18" t="s">
        <v>87</v>
      </c>
    </row>
    <row r="143" spans="2:47" s="1" customFormat="1" ht="11.25">
      <c r="B143" s="33"/>
      <c r="D143" s="146" t="s">
        <v>189</v>
      </c>
      <c r="F143" s="147" t="s">
        <v>1504</v>
      </c>
      <c r="I143" s="144"/>
      <c r="L143" s="33"/>
      <c r="M143" s="145"/>
      <c r="T143" s="54"/>
      <c r="AT143" s="18" t="s">
        <v>189</v>
      </c>
      <c r="AU143" s="18" t="s">
        <v>87</v>
      </c>
    </row>
    <row r="144" spans="2:65" s="1" customFormat="1" ht="24.2" customHeight="1">
      <c r="B144" s="128"/>
      <c r="C144" s="129" t="s">
        <v>271</v>
      </c>
      <c r="D144" s="129" t="s">
        <v>180</v>
      </c>
      <c r="E144" s="130" t="s">
        <v>1505</v>
      </c>
      <c r="F144" s="131" t="s">
        <v>1506</v>
      </c>
      <c r="G144" s="132" t="s">
        <v>332</v>
      </c>
      <c r="H144" s="133">
        <v>311.244</v>
      </c>
      <c r="I144" s="134"/>
      <c r="J144" s="135">
        <f>ROUND(I144*H144,2)</f>
        <v>0</v>
      </c>
      <c r="K144" s="131" t="s">
        <v>184</v>
      </c>
      <c r="L144" s="33"/>
      <c r="M144" s="136" t="s">
        <v>3</v>
      </c>
      <c r="N144" s="137" t="s">
        <v>48</v>
      </c>
      <c r="P144" s="138">
        <f>O144*H144</f>
        <v>0</v>
      </c>
      <c r="Q144" s="138">
        <v>0</v>
      </c>
      <c r="R144" s="138">
        <f>Q144*H144</f>
        <v>0</v>
      </c>
      <c r="S144" s="138">
        <v>0.057</v>
      </c>
      <c r="T144" s="139">
        <f>S144*H144</f>
        <v>17.740908</v>
      </c>
      <c r="AR144" s="140" t="s">
        <v>185</v>
      </c>
      <c r="AT144" s="140" t="s">
        <v>180</v>
      </c>
      <c r="AU144" s="140" t="s">
        <v>87</v>
      </c>
      <c r="AY144" s="18" t="s">
        <v>177</v>
      </c>
      <c r="BE144" s="141">
        <f>IF(N144="základní",J144,0)</f>
        <v>0</v>
      </c>
      <c r="BF144" s="141">
        <f>IF(N144="snížená",J144,0)</f>
        <v>0</v>
      </c>
      <c r="BG144" s="141">
        <f>IF(N144="zákl. přenesená",J144,0)</f>
        <v>0</v>
      </c>
      <c r="BH144" s="141">
        <f>IF(N144="sníž. přenesená",J144,0)</f>
        <v>0</v>
      </c>
      <c r="BI144" s="141">
        <f>IF(N144="nulová",J144,0)</f>
        <v>0</v>
      </c>
      <c r="BJ144" s="18" t="s">
        <v>85</v>
      </c>
      <c r="BK144" s="141">
        <f>ROUND(I144*H144,2)</f>
        <v>0</v>
      </c>
      <c r="BL144" s="18" t="s">
        <v>185</v>
      </c>
      <c r="BM144" s="140" t="s">
        <v>1820</v>
      </c>
    </row>
    <row r="145" spans="2:47" s="1" customFormat="1" ht="29.25">
      <c r="B145" s="33"/>
      <c r="D145" s="142" t="s">
        <v>187</v>
      </c>
      <c r="F145" s="143" t="s">
        <v>1508</v>
      </c>
      <c r="I145" s="144"/>
      <c r="L145" s="33"/>
      <c r="M145" s="145"/>
      <c r="T145" s="54"/>
      <c r="AT145" s="18" t="s">
        <v>187</v>
      </c>
      <c r="AU145" s="18" t="s">
        <v>87</v>
      </c>
    </row>
    <row r="146" spans="2:47" s="1" customFormat="1" ht="11.25">
      <c r="B146" s="33"/>
      <c r="D146" s="146" t="s">
        <v>189</v>
      </c>
      <c r="F146" s="147" t="s">
        <v>1509</v>
      </c>
      <c r="I146" s="144"/>
      <c r="L146" s="33"/>
      <c r="M146" s="145"/>
      <c r="T146" s="54"/>
      <c r="AT146" s="18" t="s">
        <v>189</v>
      </c>
      <c r="AU146" s="18" t="s">
        <v>87</v>
      </c>
    </row>
    <row r="147" spans="2:47" s="1" customFormat="1" ht="29.25">
      <c r="B147" s="33"/>
      <c r="D147" s="142" t="s">
        <v>191</v>
      </c>
      <c r="F147" s="148" t="s">
        <v>1510</v>
      </c>
      <c r="I147" s="144"/>
      <c r="L147" s="33"/>
      <c r="M147" s="145"/>
      <c r="T147" s="54"/>
      <c r="AT147" s="18" t="s">
        <v>191</v>
      </c>
      <c r="AU147" s="18" t="s">
        <v>87</v>
      </c>
    </row>
    <row r="148" spans="2:51" s="12" customFormat="1" ht="11.25">
      <c r="B148" s="149"/>
      <c r="D148" s="142" t="s">
        <v>193</v>
      </c>
      <c r="E148" s="150" t="s">
        <v>3</v>
      </c>
      <c r="F148" s="151" t="s">
        <v>1821</v>
      </c>
      <c r="H148" s="152">
        <v>311.244</v>
      </c>
      <c r="I148" s="153"/>
      <c r="L148" s="149"/>
      <c r="M148" s="154"/>
      <c r="T148" s="155"/>
      <c r="AT148" s="150" t="s">
        <v>193</v>
      </c>
      <c r="AU148" s="150" t="s">
        <v>87</v>
      </c>
      <c r="AV148" s="12" t="s">
        <v>87</v>
      </c>
      <c r="AW148" s="12" t="s">
        <v>36</v>
      </c>
      <c r="AX148" s="12" t="s">
        <v>85</v>
      </c>
      <c r="AY148" s="150" t="s">
        <v>177</v>
      </c>
    </row>
    <row r="149" spans="2:65" s="1" customFormat="1" ht="21.75" customHeight="1">
      <c r="B149" s="128"/>
      <c r="C149" s="129" t="s">
        <v>277</v>
      </c>
      <c r="D149" s="129" t="s">
        <v>180</v>
      </c>
      <c r="E149" s="130" t="s">
        <v>1042</v>
      </c>
      <c r="F149" s="131" t="s">
        <v>1043</v>
      </c>
      <c r="G149" s="132" t="s">
        <v>332</v>
      </c>
      <c r="H149" s="133">
        <v>12.4</v>
      </c>
      <c r="I149" s="134"/>
      <c r="J149" s="135">
        <f>ROUND(I149*H149,2)</f>
        <v>0</v>
      </c>
      <c r="K149" s="131" t="s">
        <v>184</v>
      </c>
      <c r="L149" s="33"/>
      <c r="M149" s="136" t="s">
        <v>3</v>
      </c>
      <c r="N149" s="137" t="s">
        <v>48</v>
      </c>
      <c r="P149" s="138">
        <f>O149*H149</f>
        <v>0</v>
      </c>
      <c r="Q149" s="138">
        <v>0</v>
      </c>
      <c r="R149" s="138">
        <f>Q149*H149</f>
        <v>0</v>
      </c>
      <c r="S149" s="138">
        <v>0.076</v>
      </c>
      <c r="T149" s="139">
        <f>S149*H149</f>
        <v>0.9424</v>
      </c>
      <c r="AR149" s="140" t="s">
        <v>185</v>
      </c>
      <c r="AT149" s="140" t="s">
        <v>180</v>
      </c>
      <c r="AU149" s="140" t="s">
        <v>87</v>
      </c>
      <c r="AY149" s="18" t="s">
        <v>177</v>
      </c>
      <c r="BE149" s="141">
        <f>IF(N149="základní",J149,0)</f>
        <v>0</v>
      </c>
      <c r="BF149" s="141">
        <f>IF(N149="snížená",J149,0)</f>
        <v>0</v>
      </c>
      <c r="BG149" s="141">
        <f>IF(N149="zákl. přenesená",J149,0)</f>
        <v>0</v>
      </c>
      <c r="BH149" s="141">
        <f>IF(N149="sníž. přenesená",J149,0)</f>
        <v>0</v>
      </c>
      <c r="BI149" s="141">
        <f>IF(N149="nulová",J149,0)</f>
        <v>0</v>
      </c>
      <c r="BJ149" s="18" t="s">
        <v>85</v>
      </c>
      <c r="BK149" s="141">
        <f>ROUND(I149*H149,2)</f>
        <v>0</v>
      </c>
      <c r="BL149" s="18" t="s">
        <v>185</v>
      </c>
      <c r="BM149" s="140" t="s">
        <v>1822</v>
      </c>
    </row>
    <row r="150" spans="2:47" s="1" customFormat="1" ht="19.5">
      <c r="B150" s="33"/>
      <c r="D150" s="142" t="s">
        <v>187</v>
      </c>
      <c r="F150" s="143" t="s">
        <v>1045</v>
      </c>
      <c r="I150" s="144"/>
      <c r="L150" s="33"/>
      <c r="M150" s="145"/>
      <c r="T150" s="54"/>
      <c r="AT150" s="18" t="s">
        <v>187</v>
      </c>
      <c r="AU150" s="18" t="s">
        <v>87</v>
      </c>
    </row>
    <row r="151" spans="2:47" s="1" customFormat="1" ht="11.25">
      <c r="B151" s="33"/>
      <c r="D151" s="146" t="s">
        <v>189</v>
      </c>
      <c r="F151" s="147" t="s">
        <v>1046</v>
      </c>
      <c r="I151" s="144"/>
      <c r="L151" s="33"/>
      <c r="M151" s="145"/>
      <c r="T151" s="54"/>
      <c r="AT151" s="18" t="s">
        <v>189</v>
      </c>
      <c r="AU151" s="18" t="s">
        <v>87</v>
      </c>
    </row>
    <row r="152" spans="2:47" s="1" customFormat="1" ht="58.5">
      <c r="B152" s="33"/>
      <c r="D152" s="142" t="s">
        <v>191</v>
      </c>
      <c r="F152" s="148" t="s">
        <v>1040</v>
      </c>
      <c r="I152" s="144"/>
      <c r="L152" s="33"/>
      <c r="M152" s="145"/>
      <c r="T152" s="54"/>
      <c r="AT152" s="18" t="s">
        <v>191</v>
      </c>
      <c r="AU152" s="18" t="s">
        <v>87</v>
      </c>
    </row>
    <row r="153" spans="2:51" s="12" customFormat="1" ht="11.25">
      <c r="B153" s="149"/>
      <c r="D153" s="142" t="s">
        <v>193</v>
      </c>
      <c r="E153" s="150" t="s">
        <v>3</v>
      </c>
      <c r="F153" s="151" t="s">
        <v>1823</v>
      </c>
      <c r="H153" s="152">
        <v>6</v>
      </c>
      <c r="I153" s="153"/>
      <c r="L153" s="149"/>
      <c r="M153" s="154"/>
      <c r="T153" s="155"/>
      <c r="AT153" s="150" t="s">
        <v>193</v>
      </c>
      <c r="AU153" s="150" t="s">
        <v>87</v>
      </c>
      <c r="AV153" s="12" t="s">
        <v>87</v>
      </c>
      <c r="AW153" s="12" t="s">
        <v>36</v>
      </c>
      <c r="AX153" s="12" t="s">
        <v>77</v>
      </c>
      <c r="AY153" s="150" t="s">
        <v>177</v>
      </c>
    </row>
    <row r="154" spans="2:51" s="12" customFormat="1" ht="11.25">
      <c r="B154" s="149"/>
      <c r="D154" s="142" t="s">
        <v>193</v>
      </c>
      <c r="E154" s="150" t="s">
        <v>3</v>
      </c>
      <c r="F154" s="151" t="s">
        <v>1824</v>
      </c>
      <c r="H154" s="152">
        <v>6.4</v>
      </c>
      <c r="I154" s="153"/>
      <c r="L154" s="149"/>
      <c r="M154" s="154"/>
      <c r="T154" s="155"/>
      <c r="AT154" s="150" t="s">
        <v>193</v>
      </c>
      <c r="AU154" s="150" t="s">
        <v>87</v>
      </c>
      <c r="AV154" s="12" t="s">
        <v>87</v>
      </c>
      <c r="AW154" s="12" t="s">
        <v>36</v>
      </c>
      <c r="AX154" s="12" t="s">
        <v>77</v>
      </c>
      <c r="AY154" s="150" t="s">
        <v>177</v>
      </c>
    </row>
    <row r="155" spans="2:51" s="15" customFormat="1" ht="11.25">
      <c r="B155" s="169"/>
      <c r="D155" s="142" t="s">
        <v>193</v>
      </c>
      <c r="E155" s="170" t="s">
        <v>3</v>
      </c>
      <c r="F155" s="171" t="s">
        <v>201</v>
      </c>
      <c r="H155" s="172">
        <v>12.4</v>
      </c>
      <c r="I155" s="173"/>
      <c r="L155" s="169"/>
      <c r="M155" s="174"/>
      <c r="T155" s="175"/>
      <c r="AT155" s="170" t="s">
        <v>193</v>
      </c>
      <c r="AU155" s="170" t="s">
        <v>87</v>
      </c>
      <c r="AV155" s="15" t="s">
        <v>185</v>
      </c>
      <c r="AW155" s="15" t="s">
        <v>36</v>
      </c>
      <c r="AX155" s="15" t="s">
        <v>85</v>
      </c>
      <c r="AY155" s="170" t="s">
        <v>177</v>
      </c>
    </row>
    <row r="156" spans="2:65" s="1" customFormat="1" ht="21.75" customHeight="1">
      <c r="B156" s="128"/>
      <c r="C156" s="129" t="s">
        <v>283</v>
      </c>
      <c r="D156" s="129" t="s">
        <v>180</v>
      </c>
      <c r="E156" s="130" t="s">
        <v>1048</v>
      </c>
      <c r="F156" s="131" t="s">
        <v>1049</v>
      </c>
      <c r="G156" s="132" t="s">
        <v>332</v>
      </c>
      <c r="H156" s="133">
        <v>7.28</v>
      </c>
      <c r="I156" s="134"/>
      <c r="J156" s="135">
        <f>ROUND(I156*H156,2)</f>
        <v>0</v>
      </c>
      <c r="K156" s="131" t="s">
        <v>184</v>
      </c>
      <c r="L156" s="33"/>
      <c r="M156" s="136" t="s">
        <v>3</v>
      </c>
      <c r="N156" s="137" t="s">
        <v>48</v>
      </c>
      <c r="P156" s="138">
        <f>O156*H156</f>
        <v>0</v>
      </c>
      <c r="Q156" s="138">
        <v>0</v>
      </c>
      <c r="R156" s="138">
        <f>Q156*H156</f>
        <v>0</v>
      </c>
      <c r="S156" s="138">
        <v>0.063</v>
      </c>
      <c r="T156" s="139">
        <f>S156*H156</f>
        <v>0.45864</v>
      </c>
      <c r="AR156" s="140" t="s">
        <v>185</v>
      </c>
      <c r="AT156" s="140" t="s">
        <v>180</v>
      </c>
      <c r="AU156" s="140" t="s">
        <v>87</v>
      </c>
      <c r="AY156" s="18" t="s">
        <v>177</v>
      </c>
      <c r="BE156" s="141">
        <f>IF(N156="základní",J156,0)</f>
        <v>0</v>
      </c>
      <c r="BF156" s="141">
        <f>IF(N156="snížená",J156,0)</f>
        <v>0</v>
      </c>
      <c r="BG156" s="141">
        <f>IF(N156="zákl. přenesená",J156,0)</f>
        <v>0</v>
      </c>
      <c r="BH156" s="141">
        <f>IF(N156="sníž. přenesená",J156,0)</f>
        <v>0</v>
      </c>
      <c r="BI156" s="141">
        <f>IF(N156="nulová",J156,0)</f>
        <v>0</v>
      </c>
      <c r="BJ156" s="18" t="s">
        <v>85</v>
      </c>
      <c r="BK156" s="141">
        <f>ROUND(I156*H156,2)</f>
        <v>0</v>
      </c>
      <c r="BL156" s="18" t="s">
        <v>185</v>
      </c>
      <c r="BM156" s="140" t="s">
        <v>1825</v>
      </c>
    </row>
    <row r="157" spans="2:47" s="1" customFormat="1" ht="19.5">
      <c r="B157" s="33"/>
      <c r="D157" s="142" t="s">
        <v>187</v>
      </c>
      <c r="F157" s="143" t="s">
        <v>1051</v>
      </c>
      <c r="I157" s="144"/>
      <c r="L157" s="33"/>
      <c r="M157" s="145"/>
      <c r="T157" s="54"/>
      <c r="AT157" s="18" t="s">
        <v>187</v>
      </c>
      <c r="AU157" s="18" t="s">
        <v>87</v>
      </c>
    </row>
    <row r="158" spans="2:47" s="1" customFormat="1" ht="11.25">
      <c r="B158" s="33"/>
      <c r="D158" s="146" t="s">
        <v>189</v>
      </c>
      <c r="F158" s="147" t="s">
        <v>1052</v>
      </c>
      <c r="I158" s="144"/>
      <c r="L158" s="33"/>
      <c r="M158" s="145"/>
      <c r="T158" s="54"/>
      <c r="AT158" s="18" t="s">
        <v>189</v>
      </c>
      <c r="AU158" s="18" t="s">
        <v>87</v>
      </c>
    </row>
    <row r="159" spans="2:47" s="1" customFormat="1" ht="58.5">
      <c r="B159" s="33"/>
      <c r="D159" s="142" t="s">
        <v>191</v>
      </c>
      <c r="F159" s="148" t="s">
        <v>1040</v>
      </c>
      <c r="I159" s="144"/>
      <c r="L159" s="33"/>
      <c r="M159" s="145"/>
      <c r="T159" s="54"/>
      <c r="AT159" s="18" t="s">
        <v>191</v>
      </c>
      <c r="AU159" s="18" t="s">
        <v>87</v>
      </c>
    </row>
    <row r="160" spans="2:51" s="12" customFormat="1" ht="11.25">
      <c r="B160" s="149"/>
      <c r="D160" s="142" t="s">
        <v>193</v>
      </c>
      <c r="E160" s="150" t="s">
        <v>3</v>
      </c>
      <c r="F160" s="151" t="s">
        <v>1826</v>
      </c>
      <c r="H160" s="152">
        <v>4.8</v>
      </c>
      <c r="I160" s="153"/>
      <c r="L160" s="149"/>
      <c r="M160" s="154"/>
      <c r="T160" s="155"/>
      <c r="AT160" s="150" t="s">
        <v>193</v>
      </c>
      <c r="AU160" s="150" t="s">
        <v>87</v>
      </c>
      <c r="AV160" s="12" t="s">
        <v>87</v>
      </c>
      <c r="AW160" s="12" t="s">
        <v>36</v>
      </c>
      <c r="AX160" s="12" t="s">
        <v>77</v>
      </c>
      <c r="AY160" s="150" t="s">
        <v>177</v>
      </c>
    </row>
    <row r="161" spans="2:51" s="12" customFormat="1" ht="11.25">
      <c r="B161" s="149"/>
      <c r="D161" s="142" t="s">
        <v>193</v>
      </c>
      <c r="E161" s="150" t="s">
        <v>3</v>
      </c>
      <c r="F161" s="151" t="s">
        <v>1827</v>
      </c>
      <c r="H161" s="152">
        <v>2.48</v>
      </c>
      <c r="I161" s="153"/>
      <c r="L161" s="149"/>
      <c r="M161" s="154"/>
      <c r="T161" s="155"/>
      <c r="AT161" s="150" t="s">
        <v>193</v>
      </c>
      <c r="AU161" s="150" t="s">
        <v>87</v>
      </c>
      <c r="AV161" s="12" t="s">
        <v>87</v>
      </c>
      <c r="AW161" s="12" t="s">
        <v>36</v>
      </c>
      <c r="AX161" s="12" t="s">
        <v>77</v>
      </c>
      <c r="AY161" s="150" t="s">
        <v>177</v>
      </c>
    </row>
    <row r="162" spans="2:51" s="15" customFormat="1" ht="11.25">
      <c r="B162" s="169"/>
      <c r="D162" s="142" t="s">
        <v>193</v>
      </c>
      <c r="E162" s="170" t="s">
        <v>3</v>
      </c>
      <c r="F162" s="171" t="s">
        <v>201</v>
      </c>
      <c r="H162" s="172">
        <v>7.279999999999999</v>
      </c>
      <c r="I162" s="173"/>
      <c r="L162" s="169"/>
      <c r="M162" s="174"/>
      <c r="T162" s="175"/>
      <c r="AT162" s="170" t="s">
        <v>193</v>
      </c>
      <c r="AU162" s="170" t="s">
        <v>87</v>
      </c>
      <c r="AV162" s="15" t="s">
        <v>185</v>
      </c>
      <c r="AW162" s="15" t="s">
        <v>36</v>
      </c>
      <c r="AX162" s="15" t="s">
        <v>85</v>
      </c>
      <c r="AY162" s="170" t="s">
        <v>177</v>
      </c>
    </row>
    <row r="163" spans="2:65" s="1" customFormat="1" ht="24.2" customHeight="1">
      <c r="B163" s="128"/>
      <c r="C163" s="129" t="s">
        <v>9</v>
      </c>
      <c r="D163" s="129" t="s">
        <v>180</v>
      </c>
      <c r="E163" s="130" t="s">
        <v>1054</v>
      </c>
      <c r="F163" s="131" t="s">
        <v>1055</v>
      </c>
      <c r="G163" s="132" t="s">
        <v>332</v>
      </c>
      <c r="H163" s="133">
        <v>8.91</v>
      </c>
      <c r="I163" s="134"/>
      <c r="J163" s="135">
        <f>ROUND(I163*H163,2)</f>
        <v>0</v>
      </c>
      <c r="K163" s="131" t="s">
        <v>184</v>
      </c>
      <c r="L163" s="33"/>
      <c r="M163" s="136" t="s">
        <v>3</v>
      </c>
      <c r="N163" s="137" t="s">
        <v>48</v>
      </c>
      <c r="P163" s="138">
        <f>O163*H163</f>
        <v>0</v>
      </c>
      <c r="Q163" s="138">
        <v>0</v>
      </c>
      <c r="R163" s="138">
        <f>Q163*H163</f>
        <v>0</v>
      </c>
      <c r="S163" s="138">
        <v>0.073</v>
      </c>
      <c r="T163" s="139">
        <f>S163*H163</f>
        <v>0.65043</v>
      </c>
      <c r="AR163" s="140" t="s">
        <v>185</v>
      </c>
      <c r="AT163" s="140" t="s">
        <v>180</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1828</v>
      </c>
    </row>
    <row r="164" spans="2:47" s="1" customFormat="1" ht="19.5">
      <c r="B164" s="33"/>
      <c r="D164" s="142" t="s">
        <v>187</v>
      </c>
      <c r="F164" s="143" t="s">
        <v>1057</v>
      </c>
      <c r="I164" s="144"/>
      <c r="L164" s="33"/>
      <c r="M164" s="145"/>
      <c r="T164" s="54"/>
      <c r="AT164" s="18" t="s">
        <v>187</v>
      </c>
      <c r="AU164" s="18" t="s">
        <v>87</v>
      </c>
    </row>
    <row r="165" spans="2:47" s="1" customFormat="1" ht="11.25">
      <c r="B165" s="33"/>
      <c r="D165" s="146" t="s">
        <v>189</v>
      </c>
      <c r="F165" s="147" t="s">
        <v>1058</v>
      </c>
      <c r="I165" s="144"/>
      <c r="L165" s="33"/>
      <c r="M165" s="145"/>
      <c r="T165" s="54"/>
      <c r="AT165" s="18" t="s">
        <v>189</v>
      </c>
      <c r="AU165" s="18" t="s">
        <v>87</v>
      </c>
    </row>
    <row r="166" spans="2:47" s="1" customFormat="1" ht="68.25">
      <c r="B166" s="33"/>
      <c r="D166" s="142" t="s">
        <v>191</v>
      </c>
      <c r="F166" s="148" t="s">
        <v>1059</v>
      </c>
      <c r="I166" s="144"/>
      <c r="L166" s="33"/>
      <c r="M166" s="145"/>
      <c r="T166" s="54"/>
      <c r="AT166" s="18" t="s">
        <v>191</v>
      </c>
      <c r="AU166" s="18" t="s">
        <v>87</v>
      </c>
    </row>
    <row r="167" spans="2:51" s="13" customFormat="1" ht="11.25">
      <c r="B167" s="156"/>
      <c r="D167" s="142" t="s">
        <v>193</v>
      </c>
      <c r="E167" s="157" t="s">
        <v>3</v>
      </c>
      <c r="F167" s="158" t="s">
        <v>1829</v>
      </c>
      <c r="H167" s="157" t="s">
        <v>3</v>
      </c>
      <c r="I167" s="159"/>
      <c r="L167" s="156"/>
      <c r="M167" s="160"/>
      <c r="T167" s="161"/>
      <c r="AT167" s="157" t="s">
        <v>193</v>
      </c>
      <c r="AU167" s="157" t="s">
        <v>87</v>
      </c>
      <c r="AV167" s="13" t="s">
        <v>85</v>
      </c>
      <c r="AW167" s="13" t="s">
        <v>36</v>
      </c>
      <c r="AX167" s="13" t="s">
        <v>77</v>
      </c>
      <c r="AY167" s="157" t="s">
        <v>177</v>
      </c>
    </row>
    <row r="168" spans="2:51" s="12" customFormat="1" ht="11.25">
      <c r="B168" s="149"/>
      <c r="D168" s="142" t="s">
        <v>193</v>
      </c>
      <c r="E168" s="150" t="s">
        <v>3</v>
      </c>
      <c r="F168" s="151" t="s">
        <v>1830</v>
      </c>
      <c r="H168" s="152">
        <v>5.4</v>
      </c>
      <c r="I168" s="153"/>
      <c r="L168" s="149"/>
      <c r="M168" s="154"/>
      <c r="T168" s="155"/>
      <c r="AT168" s="150" t="s">
        <v>193</v>
      </c>
      <c r="AU168" s="150" t="s">
        <v>87</v>
      </c>
      <c r="AV168" s="12" t="s">
        <v>87</v>
      </c>
      <c r="AW168" s="12" t="s">
        <v>36</v>
      </c>
      <c r="AX168" s="12" t="s">
        <v>77</v>
      </c>
      <c r="AY168" s="150" t="s">
        <v>177</v>
      </c>
    </row>
    <row r="169" spans="2:51" s="13" customFormat="1" ht="11.25">
      <c r="B169" s="156"/>
      <c r="D169" s="142" t="s">
        <v>193</v>
      </c>
      <c r="E169" s="157" t="s">
        <v>3</v>
      </c>
      <c r="F169" s="158" t="s">
        <v>1831</v>
      </c>
      <c r="H169" s="157" t="s">
        <v>3</v>
      </c>
      <c r="I169" s="159"/>
      <c r="L169" s="156"/>
      <c r="M169" s="160"/>
      <c r="T169" s="161"/>
      <c r="AT169" s="157" t="s">
        <v>193</v>
      </c>
      <c r="AU169" s="157" t="s">
        <v>87</v>
      </c>
      <c r="AV169" s="13" t="s">
        <v>85</v>
      </c>
      <c r="AW169" s="13" t="s">
        <v>36</v>
      </c>
      <c r="AX169" s="13" t="s">
        <v>77</v>
      </c>
      <c r="AY169" s="157" t="s">
        <v>177</v>
      </c>
    </row>
    <row r="170" spans="2:51" s="12" customFormat="1" ht="11.25">
      <c r="B170" s="149"/>
      <c r="D170" s="142" t="s">
        <v>193</v>
      </c>
      <c r="E170" s="150" t="s">
        <v>3</v>
      </c>
      <c r="F170" s="151" t="s">
        <v>1832</v>
      </c>
      <c r="H170" s="152">
        <v>2.79</v>
      </c>
      <c r="I170" s="153"/>
      <c r="L170" s="149"/>
      <c r="M170" s="154"/>
      <c r="T170" s="155"/>
      <c r="AT170" s="150" t="s">
        <v>193</v>
      </c>
      <c r="AU170" s="150" t="s">
        <v>87</v>
      </c>
      <c r="AV170" s="12" t="s">
        <v>87</v>
      </c>
      <c r="AW170" s="12" t="s">
        <v>36</v>
      </c>
      <c r="AX170" s="12" t="s">
        <v>77</v>
      </c>
      <c r="AY170" s="150" t="s">
        <v>177</v>
      </c>
    </row>
    <row r="171" spans="2:51" s="13" customFormat="1" ht="11.25">
      <c r="B171" s="156"/>
      <c r="D171" s="142" t="s">
        <v>193</v>
      </c>
      <c r="E171" s="157" t="s">
        <v>3</v>
      </c>
      <c r="F171" s="158" t="s">
        <v>1833</v>
      </c>
      <c r="H171" s="157" t="s">
        <v>3</v>
      </c>
      <c r="I171" s="159"/>
      <c r="L171" s="156"/>
      <c r="M171" s="160"/>
      <c r="T171" s="161"/>
      <c r="AT171" s="157" t="s">
        <v>193</v>
      </c>
      <c r="AU171" s="157" t="s">
        <v>87</v>
      </c>
      <c r="AV171" s="13" t="s">
        <v>85</v>
      </c>
      <c r="AW171" s="13" t="s">
        <v>36</v>
      </c>
      <c r="AX171" s="13" t="s">
        <v>77</v>
      </c>
      <c r="AY171" s="157" t="s">
        <v>177</v>
      </c>
    </row>
    <row r="172" spans="2:51" s="12" customFormat="1" ht="11.25">
      <c r="B172" s="149"/>
      <c r="D172" s="142" t="s">
        <v>193</v>
      </c>
      <c r="E172" s="150" t="s">
        <v>3</v>
      </c>
      <c r="F172" s="151" t="s">
        <v>1834</v>
      </c>
      <c r="H172" s="152">
        <v>0.72</v>
      </c>
      <c r="I172" s="153"/>
      <c r="L172" s="149"/>
      <c r="M172" s="154"/>
      <c r="T172" s="155"/>
      <c r="AT172" s="150" t="s">
        <v>193</v>
      </c>
      <c r="AU172" s="150" t="s">
        <v>87</v>
      </c>
      <c r="AV172" s="12" t="s">
        <v>87</v>
      </c>
      <c r="AW172" s="12" t="s">
        <v>36</v>
      </c>
      <c r="AX172" s="12" t="s">
        <v>77</v>
      </c>
      <c r="AY172" s="150" t="s">
        <v>177</v>
      </c>
    </row>
    <row r="173" spans="2:51" s="15" customFormat="1" ht="11.25">
      <c r="B173" s="169"/>
      <c r="D173" s="142" t="s">
        <v>193</v>
      </c>
      <c r="E173" s="170" t="s">
        <v>3</v>
      </c>
      <c r="F173" s="171" t="s">
        <v>201</v>
      </c>
      <c r="H173" s="172">
        <v>8.910000000000002</v>
      </c>
      <c r="I173" s="173"/>
      <c r="L173" s="169"/>
      <c r="M173" s="174"/>
      <c r="T173" s="175"/>
      <c r="AT173" s="170" t="s">
        <v>193</v>
      </c>
      <c r="AU173" s="170" t="s">
        <v>87</v>
      </c>
      <c r="AV173" s="15" t="s">
        <v>185</v>
      </c>
      <c r="AW173" s="15" t="s">
        <v>36</v>
      </c>
      <c r="AX173" s="15" t="s">
        <v>85</v>
      </c>
      <c r="AY173" s="170" t="s">
        <v>177</v>
      </c>
    </row>
    <row r="174" spans="2:65" s="1" customFormat="1" ht="21.75" customHeight="1">
      <c r="B174" s="128"/>
      <c r="C174" s="129" t="s">
        <v>237</v>
      </c>
      <c r="D174" s="129" t="s">
        <v>180</v>
      </c>
      <c r="E174" s="130" t="s">
        <v>1835</v>
      </c>
      <c r="F174" s="131" t="s">
        <v>1836</v>
      </c>
      <c r="G174" s="132" t="s">
        <v>332</v>
      </c>
      <c r="H174" s="133">
        <v>5.76</v>
      </c>
      <c r="I174" s="134"/>
      <c r="J174" s="135">
        <f>ROUND(I174*H174,2)</f>
        <v>0</v>
      </c>
      <c r="K174" s="131" t="s">
        <v>184</v>
      </c>
      <c r="L174" s="33"/>
      <c r="M174" s="136" t="s">
        <v>3</v>
      </c>
      <c r="N174" s="137" t="s">
        <v>48</v>
      </c>
      <c r="P174" s="138">
        <f>O174*H174</f>
        <v>0</v>
      </c>
      <c r="Q174" s="138">
        <v>0</v>
      </c>
      <c r="R174" s="138">
        <f>Q174*H174</f>
        <v>0</v>
      </c>
      <c r="S174" s="138">
        <v>0.062</v>
      </c>
      <c r="T174" s="139">
        <f>S174*H174</f>
        <v>0.35712</v>
      </c>
      <c r="AR174" s="140" t="s">
        <v>185</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1837</v>
      </c>
    </row>
    <row r="175" spans="2:47" s="1" customFormat="1" ht="19.5">
      <c r="B175" s="33"/>
      <c r="D175" s="142" t="s">
        <v>187</v>
      </c>
      <c r="F175" s="143" t="s">
        <v>1838</v>
      </c>
      <c r="I175" s="144"/>
      <c r="L175" s="33"/>
      <c r="M175" s="145"/>
      <c r="T175" s="54"/>
      <c r="AT175" s="18" t="s">
        <v>187</v>
      </c>
      <c r="AU175" s="18" t="s">
        <v>87</v>
      </c>
    </row>
    <row r="176" spans="2:47" s="1" customFormat="1" ht="11.25">
      <c r="B176" s="33"/>
      <c r="D176" s="146" t="s">
        <v>189</v>
      </c>
      <c r="F176" s="147" t="s">
        <v>1839</v>
      </c>
      <c r="I176" s="144"/>
      <c r="L176" s="33"/>
      <c r="M176" s="145"/>
      <c r="T176" s="54"/>
      <c r="AT176" s="18" t="s">
        <v>189</v>
      </c>
      <c r="AU176" s="18" t="s">
        <v>87</v>
      </c>
    </row>
    <row r="177" spans="2:47" s="1" customFormat="1" ht="68.25">
      <c r="B177" s="33"/>
      <c r="D177" s="142" t="s">
        <v>191</v>
      </c>
      <c r="F177" s="148" t="s">
        <v>1059</v>
      </c>
      <c r="I177" s="144"/>
      <c r="L177" s="33"/>
      <c r="M177" s="145"/>
      <c r="T177" s="54"/>
      <c r="AT177" s="18" t="s">
        <v>191</v>
      </c>
      <c r="AU177" s="18" t="s">
        <v>87</v>
      </c>
    </row>
    <row r="178" spans="2:51" s="13" customFormat="1" ht="11.25">
      <c r="B178" s="156"/>
      <c r="D178" s="142" t="s">
        <v>193</v>
      </c>
      <c r="E178" s="157" t="s">
        <v>3</v>
      </c>
      <c r="F178" s="158" t="s">
        <v>1829</v>
      </c>
      <c r="H178" s="157" t="s">
        <v>3</v>
      </c>
      <c r="I178" s="159"/>
      <c r="L178" s="156"/>
      <c r="M178" s="160"/>
      <c r="T178" s="161"/>
      <c r="AT178" s="157" t="s">
        <v>193</v>
      </c>
      <c r="AU178" s="157" t="s">
        <v>87</v>
      </c>
      <c r="AV178" s="13" t="s">
        <v>85</v>
      </c>
      <c r="AW178" s="13" t="s">
        <v>36</v>
      </c>
      <c r="AX178" s="13" t="s">
        <v>77</v>
      </c>
      <c r="AY178" s="157" t="s">
        <v>177</v>
      </c>
    </row>
    <row r="179" spans="2:51" s="12" customFormat="1" ht="11.25">
      <c r="B179" s="149"/>
      <c r="D179" s="142" t="s">
        <v>193</v>
      </c>
      <c r="E179" s="150" t="s">
        <v>3</v>
      </c>
      <c r="F179" s="151" t="s">
        <v>1840</v>
      </c>
      <c r="H179" s="152">
        <v>5.76</v>
      </c>
      <c r="I179" s="153"/>
      <c r="L179" s="149"/>
      <c r="M179" s="154"/>
      <c r="T179" s="155"/>
      <c r="AT179" s="150" t="s">
        <v>193</v>
      </c>
      <c r="AU179" s="150" t="s">
        <v>87</v>
      </c>
      <c r="AV179" s="12" t="s">
        <v>87</v>
      </c>
      <c r="AW179" s="12" t="s">
        <v>36</v>
      </c>
      <c r="AX179" s="12" t="s">
        <v>85</v>
      </c>
      <c r="AY179" s="150" t="s">
        <v>177</v>
      </c>
    </row>
    <row r="180" spans="2:65" s="1" customFormat="1" ht="33" customHeight="1">
      <c r="B180" s="128"/>
      <c r="C180" s="129" t="s">
        <v>302</v>
      </c>
      <c r="D180" s="129" t="s">
        <v>180</v>
      </c>
      <c r="E180" s="130" t="s">
        <v>823</v>
      </c>
      <c r="F180" s="131" t="s">
        <v>824</v>
      </c>
      <c r="G180" s="132" t="s">
        <v>476</v>
      </c>
      <c r="H180" s="133">
        <v>39.24</v>
      </c>
      <c r="I180" s="134"/>
      <c r="J180" s="135">
        <f>ROUND(I180*H180,2)</f>
        <v>0</v>
      </c>
      <c r="K180" s="131" t="s">
        <v>184</v>
      </c>
      <c r="L180" s="33"/>
      <c r="M180" s="136" t="s">
        <v>3</v>
      </c>
      <c r="N180" s="137" t="s">
        <v>48</v>
      </c>
      <c r="P180" s="138">
        <f>O180*H180</f>
        <v>0</v>
      </c>
      <c r="Q180" s="138">
        <v>0.0002009</v>
      </c>
      <c r="R180" s="138">
        <f>Q180*H180</f>
        <v>0.007883316000000001</v>
      </c>
      <c r="S180" s="138">
        <v>0</v>
      </c>
      <c r="T180" s="139">
        <f>S180*H180</f>
        <v>0</v>
      </c>
      <c r="AR180" s="140" t="s">
        <v>185</v>
      </c>
      <c r="AT180" s="140" t="s">
        <v>180</v>
      </c>
      <c r="AU180" s="140" t="s">
        <v>87</v>
      </c>
      <c r="AY180" s="18" t="s">
        <v>177</v>
      </c>
      <c r="BE180" s="141">
        <f>IF(N180="základní",J180,0)</f>
        <v>0</v>
      </c>
      <c r="BF180" s="141">
        <f>IF(N180="snížená",J180,0)</f>
        <v>0</v>
      </c>
      <c r="BG180" s="141">
        <f>IF(N180="zákl. přenesená",J180,0)</f>
        <v>0</v>
      </c>
      <c r="BH180" s="141">
        <f>IF(N180="sníž. přenesená",J180,0)</f>
        <v>0</v>
      </c>
      <c r="BI180" s="141">
        <f>IF(N180="nulová",J180,0)</f>
        <v>0</v>
      </c>
      <c r="BJ180" s="18" t="s">
        <v>85</v>
      </c>
      <c r="BK180" s="141">
        <f>ROUND(I180*H180,2)</f>
        <v>0</v>
      </c>
      <c r="BL180" s="18" t="s">
        <v>185</v>
      </c>
      <c r="BM180" s="140" t="s">
        <v>1841</v>
      </c>
    </row>
    <row r="181" spans="2:47" s="1" customFormat="1" ht="29.25">
      <c r="B181" s="33"/>
      <c r="D181" s="142" t="s">
        <v>187</v>
      </c>
      <c r="F181" s="143" t="s">
        <v>826</v>
      </c>
      <c r="I181" s="144"/>
      <c r="L181" s="33"/>
      <c r="M181" s="145"/>
      <c r="T181" s="54"/>
      <c r="AT181" s="18" t="s">
        <v>187</v>
      </c>
      <c r="AU181" s="18" t="s">
        <v>87</v>
      </c>
    </row>
    <row r="182" spans="2:47" s="1" customFormat="1" ht="11.25">
      <c r="B182" s="33"/>
      <c r="D182" s="146" t="s">
        <v>189</v>
      </c>
      <c r="F182" s="147" t="s">
        <v>827</v>
      </c>
      <c r="I182" s="144"/>
      <c r="L182" s="33"/>
      <c r="M182" s="145"/>
      <c r="T182" s="54"/>
      <c r="AT182" s="18" t="s">
        <v>189</v>
      </c>
      <c r="AU182" s="18" t="s">
        <v>87</v>
      </c>
    </row>
    <row r="183" spans="2:47" s="1" customFormat="1" ht="97.5">
      <c r="B183" s="33"/>
      <c r="D183" s="142" t="s">
        <v>191</v>
      </c>
      <c r="F183" s="148" t="s">
        <v>821</v>
      </c>
      <c r="I183" s="144"/>
      <c r="L183" s="33"/>
      <c r="M183" s="145"/>
      <c r="T183" s="54"/>
      <c r="AT183" s="18" t="s">
        <v>191</v>
      </c>
      <c r="AU183" s="18" t="s">
        <v>87</v>
      </c>
    </row>
    <row r="184" spans="2:51" s="13" customFormat="1" ht="11.25">
      <c r="B184" s="156"/>
      <c r="D184" s="142" t="s">
        <v>193</v>
      </c>
      <c r="E184" s="157" t="s">
        <v>3</v>
      </c>
      <c r="F184" s="158" t="s">
        <v>1797</v>
      </c>
      <c r="H184" s="157" t="s">
        <v>3</v>
      </c>
      <c r="I184" s="159"/>
      <c r="L184" s="156"/>
      <c r="M184" s="160"/>
      <c r="T184" s="161"/>
      <c r="AT184" s="157" t="s">
        <v>193</v>
      </c>
      <c r="AU184" s="157" t="s">
        <v>87</v>
      </c>
      <c r="AV184" s="13" t="s">
        <v>85</v>
      </c>
      <c r="AW184" s="13" t="s">
        <v>36</v>
      </c>
      <c r="AX184" s="13" t="s">
        <v>77</v>
      </c>
      <c r="AY184" s="157" t="s">
        <v>177</v>
      </c>
    </row>
    <row r="185" spans="2:51" s="12" customFormat="1" ht="11.25">
      <c r="B185" s="149"/>
      <c r="D185" s="142" t="s">
        <v>193</v>
      </c>
      <c r="E185" s="150" t="s">
        <v>3</v>
      </c>
      <c r="F185" s="151" t="s">
        <v>1842</v>
      </c>
      <c r="H185" s="152">
        <v>19.04</v>
      </c>
      <c r="I185" s="153"/>
      <c r="L185" s="149"/>
      <c r="M185" s="154"/>
      <c r="T185" s="155"/>
      <c r="AT185" s="150" t="s">
        <v>193</v>
      </c>
      <c r="AU185" s="150" t="s">
        <v>87</v>
      </c>
      <c r="AV185" s="12" t="s">
        <v>87</v>
      </c>
      <c r="AW185" s="12" t="s">
        <v>36</v>
      </c>
      <c r="AX185" s="12" t="s">
        <v>77</v>
      </c>
      <c r="AY185" s="150" t="s">
        <v>177</v>
      </c>
    </row>
    <row r="186" spans="2:51" s="12" customFormat="1" ht="11.25">
      <c r="B186" s="149"/>
      <c r="D186" s="142" t="s">
        <v>193</v>
      </c>
      <c r="E186" s="150" t="s">
        <v>3</v>
      </c>
      <c r="F186" s="151" t="s">
        <v>1843</v>
      </c>
      <c r="H186" s="152">
        <v>20.2</v>
      </c>
      <c r="I186" s="153"/>
      <c r="L186" s="149"/>
      <c r="M186" s="154"/>
      <c r="T186" s="155"/>
      <c r="AT186" s="150" t="s">
        <v>193</v>
      </c>
      <c r="AU186" s="150" t="s">
        <v>87</v>
      </c>
      <c r="AV186" s="12" t="s">
        <v>87</v>
      </c>
      <c r="AW186" s="12" t="s">
        <v>36</v>
      </c>
      <c r="AX186" s="12" t="s">
        <v>77</v>
      </c>
      <c r="AY186" s="150" t="s">
        <v>177</v>
      </c>
    </row>
    <row r="187" spans="2:51" s="15" customFormat="1" ht="11.25">
      <c r="B187" s="169"/>
      <c r="D187" s="142" t="s">
        <v>193</v>
      </c>
      <c r="E187" s="170" t="s">
        <v>3</v>
      </c>
      <c r="F187" s="171" t="s">
        <v>201</v>
      </c>
      <c r="H187" s="172">
        <v>39.239999999999995</v>
      </c>
      <c r="I187" s="173"/>
      <c r="L187" s="169"/>
      <c r="M187" s="174"/>
      <c r="T187" s="175"/>
      <c r="AT187" s="170" t="s">
        <v>193</v>
      </c>
      <c r="AU187" s="170" t="s">
        <v>87</v>
      </c>
      <c r="AV187" s="15" t="s">
        <v>185</v>
      </c>
      <c r="AW187" s="15" t="s">
        <v>36</v>
      </c>
      <c r="AX187" s="15" t="s">
        <v>85</v>
      </c>
      <c r="AY187" s="170" t="s">
        <v>177</v>
      </c>
    </row>
    <row r="188" spans="2:65" s="1" customFormat="1" ht="37.9" customHeight="1">
      <c r="B188" s="128"/>
      <c r="C188" s="129" t="s">
        <v>315</v>
      </c>
      <c r="D188" s="129" t="s">
        <v>180</v>
      </c>
      <c r="E188" s="130" t="s">
        <v>1516</v>
      </c>
      <c r="F188" s="131" t="s">
        <v>1517</v>
      </c>
      <c r="G188" s="132" t="s">
        <v>332</v>
      </c>
      <c r="H188" s="133">
        <v>274.552</v>
      </c>
      <c r="I188" s="134"/>
      <c r="J188" s="135">
        <f>ROUND(I188*H188,2)</f>
        <v>0</v>
      </c>
      <c r="K188" s="131" t="s">
        <v>184</v>
      </c>
      <c r="L188" s="33"/>
      <c r="M188" s="136" t="s">
        <v>3</v>
      </c>
      <c r="N188" s="137" t="s">
        <v>48</v>
      </c>
      <c r="P188" s="138">
        <f>O188*H188</f>
        <v>0</v>
      </c>
      <c r="Q188" s="138">
        <v>0</v>
      </c>
      <c r="R188" s="138">
        <f>Q188*H188</f>
        <v>0</v>
      </c>
      <c r="S188" s="138">
        <v>0.046</v>
      </c>
      <c r="T188" s="139">
        <f>S188*H188</f>
        <v>12.629392000000001</v>
      </c>
      <c r="AR188" s="140" t="s">
        <v>185</v>
      </c>
      <c r="AT188" s="140" t="s">
        <v>180</v>
      </c>
      <c r="AU188" s="140" t="s">
        <v>87</v>
      </c>
      <c r="AY188" s="18" t="s">
        <v>177</v>
      </c>
      <c r="BE188" s="141">
        <f>IF(N188="základní",J188,0)</f>
        <v>0</v>
      </c>
      <c r="BF188" s="141">
        <f>IF(N188="snížená",J188,0)</f>
        <v>0</v>
      </c>
      <c r="BG188" s="141">
        <f>IF(N188="zákl. přenesená",J188,0)</f>
        <v>0</v>
      </c>
      <c r="BH188" s="141">
        <f>IF(N188="sníž. přenesená",J188,0)</f>
        <v>0</v>
      </c>
      <c r="BI188" s="141">
        <f>IF(N188="nulová",J188,0)</f>
        <v>0</v>
      </c>
      <c r="BJ188" s="18" t="s">
        <v>85</v>
      </c>
      <c r="BK188" s="141">
        <f>ROUND(I188*H188,2)</f>
        <v>0</v>
      </c>
      <c r="BL188" s="18" t="s">
        <v>185</v>
      </c>
      <c r="BM188" s="140" t="s">
        <v>1844</v>
      </c>
    </row>
    <row r="189" spans="2:47" s="1" customFormat="1" ht="29.25">
      <c r="B189" s="33"/>
      <c r="D189" s="142" t="s">
        <v>187</v>
      </c>
      <c r="F189" s="143" t="s">
        <v>1519</v>
      </c>
      <c r="I189" s="144"/>
      <c r="L189" s="33"/>
      <c r="M189" s="145"/>
      <c r="T189" s="54"/>
      <c r="AT189" s="18" t="s">
        <v>187</v>
      </c>
      <c r="AU189" s="18" t="s">
        <v>87</v>
      </c>
    </row>
    <row r="190" spans="2:47" s="1" customFormat="1" ht="11.25">
      <c r="B190" s="33"/>
      <c r="D190" s="146" t="s">
        <v>189</v>
      </c>
      <c r="F190" s="147" t="s">
        <v>1520</v>
      </c>
      <c r="I190" s="144"/>
      <c r="L190" s="33"/>
      <c r="M190" s="145"/>
      <c r="T190" s="54"/>
      <c r="AT190" s="18" t="s">
        <v>189</v>
      </c>
      <c r="AU190" s="18" t="s">
        <v>87</v>
      </c>
    </row>
    <row r="191" spans="2:47" s="1" customFormat="1" ht="39">
      <c r="B191" s="33"/>
      <c r="D191" s="142" t="s">
        <v>191</v>
      </c>
      <c r="F191" s="148" t="s">
        <v>1112</v>
      </c>
      <c r="I191" s="144"/>
      <c r="L191" s="33"/>
      <c r="M191" s="145"/>
      <c r="T191" s="54"/>
      <c r="AT191" s="18" t="s">
        <v>191</v>
      </c>
      <c r="AU191" s="18" t="s">
        <v>87</v>
      </c>
    </row>
    <row r="192" spans="2:51" s="12" customFormat="1" ht="11.25">
      <c r="B192" s="149"/>
      <c r="D192" s="142" t="s">
        <v>193</v>
      </c>
      <c r="E192" s="150" t="s">
        <v>3</v>
      </c>
      <c r="F192" s="151" t="s">
        <v>1845</v>
      </c>
      <c r="H192" s="152">
        <v>233.327</v>
      </c>
      <c r="I192" s="153"/>
      <c r="L192" s="149"/>
      <c r="M192" s="154"/>
      <c r="T192" s="155"/>
      <c r="AT192" s="150" t="s">
        <v>193</v>
      </c>
      <c r="AU192" s="150" t="s">
        <v>87</v>
      </c>
      <c r="AV192" s="12" t="s">
        <v>87</v>
      </c>
      <c r="AW192" s="12" t="s">
        <v>36</v>
      </c>
      <c r="AX192" s="12" t="s">
        <v>77</v>
      </c>
      <c r="AY192" s="150" t="s">
        <v>177</v>
      </c>
    </row>
    <row r="193" spans="2:51" s="12" customFormat="1" ht="11.25">
      <c r="B193" s="149"/>
      <c r="D193" s="142" t="s">
        <v>193</v>
      </c>
      <c r="E193" s="150" t="s">
        <v>3</v>
      </c>
      <c r="F193" s="151" t="s">
        <v>1846</v>
      </c>
      <c r="H193" s="152">
        <v>-7.83</v>
      </c>
      <c r="I193" s="153"/>
      <c r="L193" s="149"/>
      <c r="M193" s="154"/>
      <c r="T193" s="155"/>
      <c r="AT193" s="150" t="s">
        <v>193</v>
      </c>
      <c r="AU193" s="150" t="s">
        <v>87</v>
      </c>
      <c r="AV193" s="12" t="s">
        <v>87</v>
      </c>
      <c r="AW193" s="12" t="s">
        <v>36</v>
      </c>
      <c r="AX193" s="12" t="s">
        <v>77</v>
      </c>
      <c r="AY193" s="150" t="s">
        <v>177</v>
      </c>
    </row>
    <row r="194" spans="2:51" s="12" customFormat="1" ht="11.25">
      <c r="B194" s="149"/>
      <c r="D194" s="142" t="s">
        <v>193</v>
      </c>
      <c r="E194" s="150" t="s">
        <v>3</v>
      </c>
      <c r="F194" s="151" t="s">
        <v>1847</v>
      </c>
      <c r="H194" s="152">
        <v>-5.76</v>
      </c>
      <c r="I194" s="153"/>
      <c r="L194" s="149"/>
      <c r="M194" s="154"/>
      <c r="T194" s="155"/>
      <c r="AT194" s="150" t="s">
        <v>193</v>
      </c>
      <c r="AU194" s="150" t="s">
        <v>87</v>
      </c>
      <c r="AV194" s="12" t="s">
        <v>87</v>
      </c>
      <c r="AW194" s="12" t="s">
        <v>36</v>
      </c>
      <c r="AX194" s="12" t="s">
        <v>77</v>
      </c>
      <c r="AY194" s="150" t="s">
        <v>177</v>
      </c>
    </row>
    <row r="195" spans="2:51" s="12" customFormat="1" ht="11.25">
      <c r="B195" s="149"/>
      <c r="D195" s="142" t="s">
        <v>193</v>
      </c>
      <c r="E195" s="150" t="s">
        <v>3</v>
      </c>
      <c r="F195" s="151" t="s">
        <v>1848</v>
      </c>
      <c r="H195" s="152">
        <v>-9.03</v>
      </c>
      <c r="I195" s="153"/>
      <c r="L195" s="149"/>
      <c r="M195" s="154"/>
      <c r="T195" s="155"/>
      <c r="AT195" s="150" t="s">
        <v>193</v>
      </c>
      <c r="AU195" s="150" t="s">
        <v>87</v>
      </c>
      <c r="AV195" s="12" t="s">
        <v>87</v>
      </c>
      <c r="AW195" s="12" t="s">
        <v>36</v>
      </c>
      <c r="AX195" s="12" t="s">
        <v>77</v>
      </c>
      <c r="AY195" s="150" t="s">
        <v>177</v>
      </c>
    </row>
    <row r="196" spans="2:51" s="14" customFormat="1" ht="11.25">
      <c r="B196" s="162"/>
      <c r="D196" s="142" t="s">
        <v>193</v>
      </c>
      <c r="E196" s="163" t="s">
        <v>3</v>
      </c>
      <c r="F196" s="164" t="s">
        <v>197</v>
      </c>
      <c r="H196" s="165">
        <v>210.707</v>
      </c>
      <c r="I196" s="166"/>
      <c r="L196" s="162"/>
      <c r="M196" s="167"/>
      <c r="T196" s="168"/>
      <c r="AT196" s="163" t="s">
        <v>193</v>
      </c>
      <c r="AU196" s="163" t="s">
        <v>87</v>
      </c>
      <c r="AV196" s="14" t="s">
        <v>198</v>
      </c>
      <c r="AW196" s="14" t="s">
        <v>36</v>
      </c>
      <c r="AX196" s="14" t="s">
        <v>77</v>
      </c>
      <c r="AY196" s="163" t="s">
        <v>177</v>
      </c>
    </row>
    <row r="197" spans="2:51" s="13" customFormat="1" ht="11.25">
      <c r="B197" s="156"/>
      <c r="D197" s="142" t="s">
        <v>193</v>
      </c>
      <c r="E197" s="157" t="s">
        <v>3</v>
      </c>
      <c r="F197" s="158" t="s">
        <v>778</v>
      </c>
      <c r="H197" s="157" t="s">
        <v>3</v>
      </c>
      <c r="I197" s="159"/>
      <c r="L197" s="156"/>
      <c r="M197" s="160"/>
      <c r="T197" s="161"/>
      <c r="AT197" s="157" t="s">
        <v>193</v>
      </c>
      <c r="AU197" s="157" t="s">
        <v>87</v>
      </c>
      <c r="AV197" s="13" t="s">
        <v>85</v>
      </c>
      <c r="AW197" s="13" t="s">
        <v>36</v>
      </c>
      <c r="AX197" s="13" t="s">
        <v>77</v>
      </c>
      <c r="AY197" s="157" t="s">
        <v>177</v>
      </c>
    </row>
    <row r="198" spans="2:51" s="12" customFormat="1" ht="11.25">
      <c r="B198" s="149"/>
      <c r="D198" s="142" t="s">
        <v>193</v>
      </c>
      <c r="E198" s="150" t="s">
        <v>3</v>
      </c>
      <c r="F198" s="151" t="s">
        <v>1849</v>
      </c>
      <c r="H198" s="152">
        <v>63.845</v>
      </c>
      <c r="I198" s="153"/>
      <c r="L198" s="149"/>
      <c r="M198" s="154"/>
      <c r="T198" s="155"/>
      <c r="AT198" s="150" t="s">
        <v>193</v>
      </c>
      <c r="AU198" s="150" t="s">
        <v>87</v>
      </c>
      <c r="AV198" s="12" t="s">
        <v>87</v>
      </c>
      <c r="AW198" s="12" t="s">
        <v>36</v>
      </c>
      <c r="AX198" s="12" t="s">
        <v>77</v>
      </c>
      <c r="AY198" s="150" t="s">
        <v>177</v>
      </c>
    </row>
    <row r="199" spans="2:51" s="15" customFormat="1" ht="11.25">
      <c r="B199" s="169"/>
      <c r="D199" s="142" t="s">
        <v>193</v>
      </c>
      <c r="E199" s="170" t="s">
        <v>3</v>
      </c>
      <c r="F199" s="171" t="s">
        <v>201</v>
      </c>
      <c r="H199" s="172">
        <v>274.552</v>
      </c>
      <c r="I199" s="173"/>
      <c r="L199" s="169"/>
      <c r="M199" s="174"/>
      <c r="T199" s="175"/>
      <c r="AT199" s="170" t="s">
        <v>193</v>
      </c>
      <c r="AU199" s="170" t="s">
        <v>87</v>
      </c>
      <c r="AV199" s="15" t="s">
        <v>185</v>
      </c>
      <c r="AW199" s="15" t="s">
        <v>36</v>
      </c>
      <c r="AX199" s="15" t="s">
        <v>85</v>
      </c>
      <c r="AY199" s="170" t="s">
        <v>177</v>
      </c>
    </row>
    <row r="200" spans="2:65" s="1" customFormat="1" ht="24.2" customHeight="1">
      <c r="B200" s="128"/>
      <c r="C200" s="129" t="s">
        <v>461</v>
      </c>
      <c r="D200" s="129" t="s">
        <v>180</v>
      </c>
      <c r="E200" s="130" t="s">
        <v>1118</v>
      </c>
      <c r="F200" s="131" t="s">
        <v>1119</v>
      </c>
      <c r="G200" s="132" t="s">
        <v>332</v>
      </c>
      <c r="H200" s="133">
        <v>23.343</v>
      </c>
      <c r="I200" s="134"/>
      <c r="J200" s="135">
        <f>ROUND(I200*H200,2)</f>
        <v>0</v>
      </c>
      <c r="K200" s="131" t="s">
        <v>184</v>
      </c>
      <c r="L200" s="33"/>
      <c r="M200" s="136" t="s">
        <v>3</v>
      </c>
      <c r="N200" s="137" t="s">
        <v>48</v>
      </c>
      <c r="P200" s="138">
        <f>O200*H200</f>
        <v>0</v>
      </c>
      <c r="Q200" s="138">
        <v>0</v>
      </c>
      <c r="R200" s="138">
        <f>Q200*H200</f>
        <v>0</v>
      </c>
      <c r="S200" s="138">
        <v>0.066</v>
      </c>
      <c r="T200" s="139">
        <f>S200*H200</f>
        <v>1.5406380000000002</v>
      </c>
      <c r="AR200" s="140" t="s">
        <v>185</v>
      </c>
      <c r="AT200" s="140" t="s">
        <v>180</v>
      </c>
      <c r="AU200" s="140" t="s">
        <v>87</v>
      </c>
      <c r="AY200" s="18" t="s">
        <v>177</v>
      </c>
      <c r="BE200" s="141">
        <f>IF(N200="základní",J200,0)</f>
        <v>0</v>
      </c>
      <c r="BF200" s="141">
        <f>IF(N200="snížená",J200,0)</f>
        <v>0</v>
      </c>
      <c r="BG200" s="141">
        <f>IF(N200="zákl. přenesená",J200,0)</f>
        <v>0</v>
      </c>
      <c r="BH200" s="141">
        <f>IF(N200="sníž. přenesená",J200,0)</f>
        <v>0</v>
      </c>
      <c r="BI200" s="141">
        <f>IF(N200="nulová",J200,0)</f>
        <v>0</v>
      </c>
      <c r="BJ200" s="18" t="s">
        <v>85</v>
      </c>
      <c r="BK200" s="141">
        <f>ROUND(I200*H200,2)</f>
        <v>0</v>
      </c>
      <c r="BL200" s="18" t="s">
        <v>185</v>
      </c>
      <c r="BM200" s="140" t="s">
        <v>1850</v>
      </c>
    </row>
    <row r="201" spans="2:47" s="1" customFormat="1" ht="19.5">
      <c r="B201" s="33"/>
      <c r="D201" s="142" t="s">
        <v>187</v>
      </c>
      <c r="F201" s="143" t="s">
        <v>1121</v>
      </c>
      <c r="I201" s="144"/>
      <c r="L201" s="33"/>
      <c r="M201" s="145"/>
      <c r="T201" s="54"/>
      <c r="AT201" s="18" t="s">
        <v>187</v>
      </c>
      <c r="AU201" s="18" t="s">
        <v>87</v>
      </c>
    </row>
    <row r="202" spans="2:47" s="1" customFormat="1" ht="11.25">
      <c r="B202" s="33"/>
      <c r="D202" s="146" t="s">
        <v>189</v>
      </c>
      <c r="F202" s="147" t="s">
        <v>1122</v>
      </c>
      <c r="I202" s="144"/>
      <c r="L202" s="33"/>
      <c r="M202" s="145"/>
      <c r="T202" s="54"/>
      <c r="AT202" s="18" t="s">
        <v>189</v>
      </c>
      <c r="AU202" s="18" t="s">
        <v>87</v>
      </c>
    </row>
    <row r="203" spans="2:47" s="1" customFormat="1" ht="48.75">
      <c r="B203" s="33"/>
      <c r="D203" s="142" t="s">
        <v>191</v>
      </c>
      <c r="F203" s="148" t="s">
        <v>350</v>
      </c>
      <c r="I203" s="144"/>
      <c r="L203" s="33"/>
      <c r="M203" s="145"/>
      <c r="T203" s="54"/>
      <c r="AT203" s="18" t="s">
        <v>191</v>
      </c>
      <c r="AU203" s="18" t="s">
        <v>87</v>
      </c>
    </row>
    <row r="204" spans="2:65" s="1" customFormat="1" ht="24.2" customHeight="1">
      <c r="B204" s="128"/>
      <c r="C204" s="129" t="s">
        <v>467</v>
      </c>
      <c r="D204" s="129" t="s">
        <v>180</v>
      </c>
      <c r="E204" s="130" t="s">
        <v>1125</v>
      </c>
      <c r="F204" s="131" t="s">
        <v>1126</v>
      </c>
      <c r="G204" s="132" t="s">
        <v>332</v>
      </c>
      <c r="H204" s="133">
        <v>62.249</v>
      </c>
      <c r="I204" s="134"/>
      <c r="J204" s="135">
        <f>ROUND(I204*H204,2)</f>
        <v>0</v>
      </c>
      <c r="K204" s="131" t="s">
        <v>184</v>
      </c>
      <c r="L204" s="33"/>
      <c r="M204" s="136" t="s">
        <v>3</v>
      </c>
      <c r="N204" s="137" t="s">
        <v>48</v>
      </c>
      <c r="P204" s="138">
        <f>O204*H204</f>
        <v>0</v>
      </c>
      <c r="Q204" s="138">
        <v>0</v>
      </c>
      <c r="R204" s="138">
        <f>Q204*H204</f>
        <v>0</v>
      </c>
      <c r="S204" s="138">
        <v>0.11</v>
      </c>
      <c r="T204" s="139">
        <f>S204*H204</f>
        <v>6.84739</v>
      </c>
      <c r="AR204" s="140" t="s">
        <v>185</v>
      </c>
      <c r="AT204" s="140" t="s">
        <v>180</v>
      </c>
      <c r="AU204" s="140" t="s">
        <v>87</v>
      </c>
      <c r="AY204" s="18" t="s">
        <v>177</v>
      </c>
      <c r="BE204" s="141">
        <f>IF(N204="základní",J204,0)</f>
        <v>0</v>
      </c>
      <c r="BF204" s="141">
        <f>IF(N204="snížená",J204,0)</f>
        <v>0</v>
      </c>
      <c r="BG204" s="141">
        <f>IF(N204="zákl. přenesená",J204,0)</f>
        <v>0</v>
      </c>
      <c r="BH204" s="141">
        <f>IF(N204="sníž. přenesená",J204,0)</f>
        <v>0</v>
      </c>
      <c r="BI204" s="141">
        <f>IF(N204="nulová",J204,0)</f>
        <v>0</v>
      </c>
      <c r="BJ204" s="18" t="s">
        <v>85</v>
      </c>
      <c r="BK204" s="141">
        <f>ROUND(I204*H204,2)</f>
        <v>0</v>
      </c>
      <c r="BL204" s="18" t="s">
        <v>185</v>
      </c>
      <c r="BM204" s="140" t="s">
        <v>1851</v>
      </c>
    </row>
    <row r="205" spans="2:47" s="1" customFormat="1" ht="19.5">
      <c r="B205" s="33"/>
      <c r="D205" s="142" t="s">
        <v>187</v>
      </c>
      <c r="F205" s="143" t="s">
        <v>1128</v>
      </c>
      <c r="I205" s="144"/>
      <c r="L205" s="33"/>
      <c r="M205" s="145"/>
      <c r="T205" s="54"/>
      <c r="AT205" s="18" t="s">
        <v>187</v>
      </c>
      <c r="AU205" s="18" t="s">
        <v>87</v>
      </c>
    </row>
    <row r="206" spans="2:47" s="1" customFormat="1" ht="11.25">
      <c r="B206" s="33"/>
      <c r="D206" s="146" t="s">
        <v>189</v>
      </c>
      <c r="F206" s="147" t="s">
        <v>1129</v>
      </c>
      <c r="I206" s="144"/>
      <c r="L206" s="33"/>
      <c r="M206" s="145"/>
      <c r="T206" s="54"/>
      <c r="AT206" s="18" t="s">
        <v>189</v>
      </c>
      <c r="AU206" s="18" t="s">
        <v>87</v>
      </c>
    </row>
    <row r="207" spans="2:47" s="1" customFormat="1" ht="48.75">
      <c r="B207" s="33"/>
      <c r="D207" s="142" t="s">
        <v>191</v>
      </c>
      <c r="F207" s="148" t="s">
        <v>350</v>
      </c>
      <c r="I207" s="144"/>
      <c r="L207" s="33"/>
      <c r="M207" s="145"/>
      <c r="T207" s="54"/>
      <c r="AT207" s="18" t="s">
        <v>191</v>
      </c>
      <c r="AU207" s="18" t="s">
        <v>87</v>
      </c>
    </row>
    <row r="208" spans="2:65" s="1" customFormat="1" ht="33" customHeight="1">
      <c r="B208" s="128"/>
      <c r="C208" s="129" t="s">
        <v>8</v>
      </c>
      <c r="D208" s="129" t="s">
        <v>180</v>
      </c>
      <c r="E208" s="130" t="s">
        <v>367</v>
      </c>
      <c r="F208" s="131" t="s">
        <v>368</v>
      </c>
      <c r="G208" s="132" t="s">
        <v>332</v>
      </c>
      <c r="H208" s="133">
        <v>108.936</v>
      </c>
      <c r="I208" s="134"/>
      <c r="J208" s="135">
        <f>ROUND(I208*H208,2)</f>
        <v>0</v>
      </c>
      <c r="K208" s="131" t="s">
        <v>184</v>
      </c>
      <c r="L208" s="33"/>
      <c r="M208" s="136" t="s">
        <v>3</v>
      </c>
      <c r="N208" s="137" t="s">
        <v>48</v>
      </c>
      <c r="P208" s="138">
        <f>O208*H208</f>
        <v>0</v>
      </c>
      <c r="Q208" s="138">
        <v>0</v>
      </c>
      <c r="R208" s="138">
        <f>Q208*H208</f>
        <v>0</v>
      </c>
      <c r="S208" s="138">
        <v>0.07</v>
      </c>
      <c r="T208" s="139">
        <f>S208*H208</f>
        <v>7.625520000000002</v>
      </c>
      <c r="AR208" s="140" t="s">
        <v>185</v>
      </c>
      <c r="AT208" s="140" t="s">
        <v>180</v>
      </c>
      <c r="AU208" s="140" t="s">
        <v>87</v>
      </c>
      <c r="AY208" s="18" t="s">
        <v>177</v>
      </c>
      <c r="BE208" s="141">
        <f>IF(N208="základní",J208,0)</f>
        <v>0</v>
      </c>
      <c r="BF208" s="141">
        <f>IF(N208="snížená",J208,0)</f>
        <v>0</v>
      </c>
      <c r="BG208" s="141">
        <f>IF(N208="zákl. přenesená",J208,0)</f>
        <v>0</v>
      </c>
      <c r="BH208" s="141">
        <f>IF(N208="sníž. přenesená",J208,0)</f>
        <v>0</v>
      </c>
      <c r="BI208" s="141">
        <f>IF(N208="nulová",J208,0)</f>
        <v>0</v>
      </c>
      <c r="BJ208" s="18" t="s">
        <v>85</v>
      </c>
      <c r="BK208" s="141">
        <f>ROUND(I208*H208,2)</f>
        <v>0</v>
      </c>
      <c r="BL208" s="18" t="s">
        <v>185</v>
      </c>
      <c r="BM208" s="140" t="s">
        <v>1852</v>
      </c>
    </row>
    <row r="209" spans="2:47" s="1" customFormat="1" ht="19.5">
      <c r="B209" s="33"/>
      <c r="D209" s="142" t="s">
        <v>187</v>
      </c>
      <c r="F209" s="143" t="s">
        <v>370</v>
      </c>
      <c r="I209" s="144"/>
      <c r="L209" s="33"/>
      <c r="M209" s="145"/>
      <c r="T209" s="54"/>
      <c r="AT209" s="18" t="s">
        <v>187</v>
      </c>
      <c r="AU209" s="18" t="s">
        <v>87</v>
      </c>
    </row>
    <row r="210" spans="2:47" s="1" customFormat="1" ht="11.25">
      <c r="B210" s="33"/>
      <c r="D210" s="146" t="s">
        <v>189</v>
      </c>
      <c r="F210" s="147" t="s">
        <v>371</v>
      </c>
      <c r="I210" s="144"/>
      <c r="L210" s="33"/>
      <c r="M210" s="145"/>
      <c r="T210" s="54"/>
      <c r="AT210" s="18" t="s">
        <v>189</v>
      </c>
      <c r="AU210" s="18" t="s">
        <v>87</v>
      </c>
    </row>
    <row r="211" spans="2:47" s="1" customFormat="1" ht="78">
      <c r="B211" s="33"/>
      <c r="D211" s="142" t="s">
        <v>191</v>
      </c>
      <c r="F211" s="148" t="s">
        <v>372</v>
      </c>
      <c r="I211" s="144"/>
      <c r="L211" s="33"/>
      <c r="M211" s="145"/>
      <c r="T211" s="54"/>
      <c r="AT211" s="18" t="s">
        <v>191</v>
      </c>
      <c r="AU211" s="18" t="s">
        <v>87</v>
      </c>
    </row>
    <row r="212" spans="2:65" s="1" customFormat="1" ht="24.2" customHeight="1">
      <c r="B212" s="128"/>
      <c r="C212" s="129" t="s">
        <v>483</v>
      </c>
      <c r="D212" s="129" t="s">
        <v>180</v>
      </c>
      <c r="E212" s="130" t="s">
        <v>378</v>
      </c>
      <c r="F212" s="131" t="s">
        <v>379</v>
      </c>
      <c r="G212" s="132" t="s">
        <v>332</v>
      </c>
      <c r="H212" s="133">
        <v>108.936</v>
      </c>
      <c r="I212" s="134"/>
      <c r="J212" s="135">
        <f>ROUND(I212*H212,2)</f>
        <v>0</v>
      </c>
      <c r="K212" s="131" t="s">
        <v>184</v>
      </c>
      <c r="L212" s="33"/>
      <c r="M212" s="136" t="s">
        <v>3</v>
      </c>
      <c r="N212" s="137" t="s">
        <v>48</v>
      </c>
      <c r="P212" s="138">
        <f>O212*H212</f>
        <v>0</v>
      </c>
      <c r="Q212" s="138">
        <v>0</v>
      </c>
      <c r="R212" s="138">
        <f>Q212*H212</f>
        <v>0</v>
      </c>
      <c r="S212" s="138">
        <v>0</v>
      </c>
      <c r="T212" s="139">
        <f>S212*H212</f>
        <v>0</v>
      </c>
      <c r="AR212" s="140" t="s">
        <v>185</v>
      </c>
      <c r="AT212" s="140" t="s">
        <v>180</v>
      </c>
      <c r="AU212" s="140" t="s">
        <v>87</v>
      </c>
      <c r="AY212" s="18" t="s">
        <v>177</v>
      </c>
      <c r="BE212" s="141">
        <f>IF(N212="základní",J212,0)</f>
        <v>0</v>
      </c>
      <c r="BF212" s="141">
        <f>IF(N212="snížená",J212,0)</f>
        <v>0</v>
      </c>
      <c r="BG212" s="141">
        <f>IF(N212="zákl. přenesená",J212,0)</f>
        <v>0</v>
      </c>
      <c r="BH212" s="141">
        <f>IF(N212="sníž. přenesená",J212,0)</f>
        <v>0</v>
      </c>
      <c r="BI212" s="141">
        <f>IF(N212="nulová",J212,0)</f>
        <v>0</v>
      </c>
      <c r="BJ212" s="18" t="s">
        <v>85</v>
      </c>
      <c r="BK212" s="141">
        <f>ROUND(I212*H212,2)</f>
        <v>0</v>
      </c>
      <c r="BL212" s="18" t="s">
        <v>185</v>
      </c>
      <c r="BM212" s="140" t="s">
        <v>1853</v>
      </c>
    </row>
    <row r="213" spans="2:47" s="1" customFormat="1" ht="19.5">
      <c r="B213" s="33"/>
      <c r="D213" s="142" t="s">
        <v>187</v>
      </c>
      <c r="F213" s="143" t="s">
        <v>381</v>
      </c>
      <c r="I213" s="144"/>
      <c r="L213" s="33"/>
      <c r="M213" s="145"/>
      <c r="T213" s="54"/>
      <c r="AT213" s="18" t="s">
        <v>187</v>
      </c>
      <c r="AU213" s="18" t="s">
        <v>87</v>
      </c>
    </row>
    <row r="214" spans="2:47" s="1" customFormat="1" ht="11.25">
      <c r="B214" s="33"/>
      <c r="D214" s="146" t="s">
        <v>189</v>
      </c>
      <c r="F214" s="147" t="s">
        <v>382</v>
      </c>
      <c r="I214" s="144"/>
      <c r="L214" s="33"/>
      <c r="M214" s="145"/>
      <c r="T214" s="54"/>
      <c r="AT214" s="18" t="s">
        <v>189</v>
      </c>
      <c r="AU214" s="18" t="s">
        <v>87</v>
      </c>
    </row>
    <row r="215" spans="2:47" s="1" customFormat="1" ht="78">
      <c r="B215" s="33"/>
      <c r="D215" s="142" t="s">
        <v>191</v>
      </c>
      <c r="F215" s="148" t="s">
        <v>383</v>
      </c>
      <c r="I215" s="144"/>
      <c r="L215" s="33"/>
      <c r="M215" s="145"/>
      <c r="T215" s="54"/>
      <c r="AT215" s="18" t="s">
        <v>191</v>
      </c>
      <c r="AU215" s="18" t="s">
        <v>87</v>
      </c>
    </row>
    <row r="216" spans="2:65" s="1" customFormat="1" ht="24.2" customHeight="1">
      <c r="B216" s="128"/>
      <c r="C216" s="129" t="s">
        <v>490</v>
      </c>
      <c r="D216" s="129" t="s">
        <v>180</v>
      </c>
      <c r="E216" s="130" t="s">
        <v>1149</v>
      </c>
      <c r="F216" s="131" t="s">
        <v>1150</v>
      </c>
      <c r="G216" s="132" t="s">
        <v>332</v>
      </c>
      <c r="H216" s="133">
        <v>46.687</v>
      </c>
      <c r="I216" s="134"/>
      <c r="J216" s="135">
        <f>ROUND(I216*H216,2)</f>
        <v>0</v>
      </c>
      <c r="K216" s="131" t="s">
        <v>184</v>
      </c>
      <c r="L216" s="33"/>
      <c r="M216" s="136" t="s">
        <v>3</v>
      </c>
      <c r="N216" s="137" t="s">
        <v>48</v>
      </c>
      <c r="P216" s="138">
        <f>O216*H216</f>
        <v>0</v>
      </c>
      <c r="Q216" s="138">
        <v>0.04029</v>
      </c>
      <c r="R216" s="138">
        <f>Q216*H216</f>
        <v>1.88101923</v>
      </c>
      <c r="S216" s="138">
        <v>0</v>
      </c>
      <c r="T216" s="139">
        <f>S216*H216</f>
        <v>0</v>
      </c>
      <c r="AR216" s="140" t="s">
        <v>185</v>
      </c>
      <c r="AT216" s="140" t="s">
        <v>180</v>
      </c>
      <c r="AU216" s="140" t="s">
        <v>87</v>
      </c>
      <c r="AY216" s="18" t="s">
        <v>177</v>
      </c>
      <c r="BE216" s="141">
        <f>IF(N216="základní",J216,0)</f>
        <v>0</v>
      </c>
      <c r="BF216" s="141">
        <f>IF(N216="snížená",J216,0)</f>
        <v>0</v>
      </c>
      <c r="BG216" s="141">
        <f>IF(N216="zákl. přenesená",J216,0)</f>
        <v>0</v>
      </c>
      <c r="BH216" s="141">
        <f>IF(N216="sníž. přenesená",J216,0)</f>
        <v>0</v>
      </c>
      <c r="BI216" s="141">
        <f>IF(N216="nulová",J216,0)</f>
        <v>0</v>
      </c>
      <c r="BJ216" s="18" t="s">
        <v>85</v>
      </c>
      <c r="BK216" s="141">
        <f>ROUND(I216*H216,2)</f>
        <v>0</v>
      </c>
      <c r="BL216" s="18" t="s">
        <v>185</v>
      </c>
      <c r="BM216" s="140" t="s">
        <v>1854</v>
      </c>
    </row>
    <row r="217" spans="2:47" s="1" customFormat="1" ht="19.5">
      <c r="B217" s="33"/>
      <c r="D217" s="142" t="s">
        <v>187</v>
      </c>
      <c r="F217" s="143" t="s">
        <v>1152</v>
      </c>
      <c r="I217" s="144"/>
      <c r="L217" s="33"/>
      <c r="M217" s="145"/>
      <c r="T217" s="54"/>
      <c r="AT217" s="18" t="s">
        <v>187</v>
      </c>
      <c r="AU217" s="18" t="s">
        <v>87</v>
      </c>
    </row>
    <row r="218" spans="2:47" s="1" customFormat="1" ht="11.25">
      <c r="B218" s="33"/>
      <c r="D218" s="146" t="s">
        <v>189</v>
      </c>
      <c r="F218" s="147" t="s">
        <v>1153</v>
      </c>
      <c r="I218" s="144"/>
      <c r="L218" s="33"/>
      <c r="M218" s="145"/>
      <c r="T218" s="54"/>
      <c r="AT218" s="18" t="s">
        <v>189</v>
      </c>
      <c r="AU218" s="18" t="s">
        <v>87</v>
      </c>
    </row>
    <row r="219" spans="2:47" s="1" customFormat="1" ht="165.75">
      <c r="B219" s="33"/>
      <c r="D219" s="142" t="s">
        <v>191</v>
      </c>
      <c r="F219" s="148" t="s">
        <v>396</v>
      </c>
      <c r="I219" s="144"/>
      <c r="L219" s="33"/>
      <c r="M219" s="145"/>
      <c r="T219" s="54"/>
      <c r="AT219" s="18" t="s">
        <v>191</v>
      </c>
      <c r="AU219" s="18" t="s">
        <v>87</v>
      </c>
    </row>
    <row r="220" spans="2:51" s="13" customFormat="1" ht="11.25">
      <c r="B220" s="156"/>
      <c r="D220" s="142" t="s">
        <v>193</v>
      </c>
      <c r="E220" s="157" t="s">
        <v>3</v>
      </c>
      <c r="F220" s="158" t="s">
        <v>1855</v>
      </c>
      <c r="H220" s="157" t="s">
        <v>3</v>
      </c>
      <c r="I220" s="159"/>
      <c r="L220" s="156"/>
      <c r="M220" s="160"/>
      <c r="T220" s="161"/>
      <c r="AT220" s="157" t="s">
        <v>193</v>
      </c>
      <c r="AU220" s="157" t="s">
        <v>87</v>
      </c>
      <c r="AV220" s="13" t="s">
        <v>85</v>
      </c>
      <c r="AW220" s="13" t="s">
        <v>36</v>
      </c>
      <c r="AX220" s="13" t="s">
        <v>77</v>
      </c>
      <c r="AY220" s="157" t="s">
        <v>177</v>
      </c>
    </row>
    <row r="221" spans="2:51" s="12" customFormat="1" ht="11.25">
      <c r="B221" s="149"/>
      <c r="D221" s="142" t="s">
        <v>193</v>
      </c>
      <c r="E221" s="150" t="s">
        <v>3</v>
      </c>
      <c r="F221" s="151" t="s">
        <v>1856</v>
      </c>
      <c r="H221" s="152">
        <v>46.687</v>
      </c>
      <c r="I221" s="153"/>
      <c r="L221" s="149"/>
      <c r="M221" s="154"/>
      <c r="T221" s="155"/>
      <c r="AT221" s="150" t="s">
        <v>193</v>
      </c>
      <c r="AU221" s="150" t="s">
        <v>87</v>
      </c>
      <c r="AV221" s="12" t="s">
        <v>87</v>
      </c>
      <c r="AW221" s="12" t="s">
        <v>36</v>
      </c>
      <c r="AX221" s="12" t="s">
        <v>85</v>
      </c>
      <c r="AY221" s="150" t="s">
        <v>177</v>
      </c>
    </row>
    <row r="222" spans="2:65" s="1" customFormat="1" ht="24.2" customHeight="1">
      <c r="B222" s="128"/>
      <c r="C222" s="129" t="s">
        <v>496</v>
      </c>
      <c r="D222" s="129" t="s">
        <v>180</v>
      </c>
      <c r="E222" s="130" t="s">
        <v>1157</v>
      </c>
      <c r="F222" s="131" t="s">
        <v>1158</v>
      </c>
      <c r="G222" s="132" t="s">
        <v>332</v>
      </c>
      <c r="H222" s="133">
        <v>62.249</v>
      </c>
      <c r="I222" s="134"/>
      <c r="J222" s="135">
        <f>ROUND(I222*H222,2)</f>
        <v>0</v>
      </c>
      <c r="K222" s="131" t="s">
        <v>184</v>
      </c>
      <c r="L222" s="33"/>
      <c r="M222" s="136" t="s">
        <v>3</v>
      </c>
      <c r="N222" s="137" t="s">
        <v>48</v>
      </c>
      <c r="P222" s="138">
        <f>O222*H222</f>
        <v>0</v>
      </c>
      <c r="Q222" s="138">
        <v>0.08374</v>
      </c>
      <c r="R222" s="138">
        <f>Q222*H222</f>
        <v>5.21273126</v>
      </c>
      <c r="S222" s="138">
        <v>0</v>
      </c>
      <c r="T222" s="139">
        <f>S222*H222</f>
        <v>0</v>
      </c>
      <c r="AR222" s="140" t="s">
        <v>185</v>
      </c>
      <c r="AT222" s="140" t="s">
        <v>180</v>
      </c>
      <c r="AU222" s="140" t="s">
        <v>87</v>
      </c>
      <c r="AY222" s="18" t="s">
        <v>177</v>
      </c>
      <c r="BE222" s="141">
        <f>IF(N222="základní",J222,0)</f>
        <v>0</v>
      </c>
      <c r="BF222" s="141">
        <f>IF(N222="snížená",J222,0)</f>
        <v>0</v>
      </c>
      <c r="BG222" s="141">
        <f>IF(N222="zákl. přenesená",J222,0)</f>
        <v>0</v>
      </c>
      <c r="BH222" s="141">
        <f>IF(N222="sníž. přenesená",J222,0)</f>
        <v>0</v>
      </c>
      <c r="BI222" s="141">
        <f>IF(N222="nulová",J222,0)</f>
        <v>0</v>
      </c>
      <c r="BJ222" s="18" t="s">
        <v>85</v>
      </c>
      <c r="BK222" s="141">
        <f>ROUND(I222*H222,2)</f>
        <v>0</v>
      </c>
      <c r="BL222" s="18" t="s">
        <v>185</v>
      </c>
      <c r="BM222" s="140" t="s">
        <v>1857</v>
      </c>
    </row>
    <row r="223" spans="2:47" s="1" customFormat="1" ht="19.5">
      <c r="B223" s="33"/>
      <c r="D223" s="142" t="s">
        <v>187</v>
      </c>
      <c r="F223" s="143" t="s">
        <v>1160</v>
      </c>
      <c r="I223" s="144"/>
      <c r="L223" s="33"/>
      <c r="M223" s="145"/>
      <c r="T223" s="54"/>
      <c r="AT223" s="18" t="s">
        <v>187</v>
      </c>
      <c r="AU223" s="18" t="s">
        <v>87</v>
      </c>
    </row>
    <row r="224" spans="2:47" s="1" customFormat="1" ht="11.25">
      <c r="B224" s="33"/>
      <c r="D224" s="146" t="s">
        <v>189</v>
      </c>
      <c r="F224" s="147" t="s">
        <v>1161</v>
      </c>
      <c r="I224" s="144"/>
      <c r="L224" s="33"/>
      <c r="M224" s="145"/>
      <c r="T224" s="54"/>
      <c r="AT224" s="18" t="s">
        <v>189</v>
      </c>
      <c r="AU224" s="18" t="s">
        <v>87</v>
      </c>
    </row>
    <row r="225" spans="2:47" s="1" customFormat="1" ht="165.75">
      <c r="B225" s="33"/>
      <c r="D225" s="142" t="s">
        <v>191</v>
      </c>
      <c r="F225" s="148" t="s">
        <v>396</v>
      </c>
      <c r="I225" s="144"/>
      <c r="L225" s="33"/>
      <c r="M225" s="145"/>
      <c r="T225" s="54"/>
      <c r="AT225" s="18" t="s">
        <v>191</v>
      </c>
      <c r="AU225" s="18" t="s">
        <v>87</v>
      </c>
    </row>
    <row r="226" spans="2:51" s="13" customFormat="1" ht="11.25">
      <c r="B226" s="156"/>
      <c r="D226" s="142" t="s">
        <v>193</v>
      </c>
      <c r="E226" s="157" t="s">
        <v>3</v>
      </c>
      <c r="F226" s="158" t="s">
        <v>1858</v>
      </c>
      <c r="H226" s="157" t="s">
        <v>3</v>
      </c>
      <c r="I226" s="159"/>
      <c r="L226" s="156"/>
      <c r="M226" s="160"/>
      <c r="T226" s="161"/>
      <c r="AT226" s="157" t="s">
        <v>193</v>
      </c>
      <c r="AU226" s="157" t="s">
        <v>87</v>
      </c>
      <c r="AV226" s="13" t="s">
        <v>85</v>
      </c>
      <c r="AW226" s="13" t="s">
        <v>36</v>
      </c>
      <c r="AX226" s="13" t="s">
        <v>77</v>
      </c>
      <c r="AY226" s="157" t="s">
        <v>177</v>
      </c>
    </row>
    <row r="227" spans="2:51" s="12" customFormat="1" ht="11.25">
      <c r="B227" s="149"/>
      <c r="D227" s="142" t="s">
        <v>193</v>
      </c>
      <c r="E227" s="150" t="s">
        <v>3</v>
      </c>
      <c r="F227" s="151" t="s">
        <v>1859</v>
      </c>
      <c r="H227" s="152">
        <v>62.249</v>
      </c>
      <c r="I227" s="153"/>
      <c r="L227" s="149"/>
      <c r="M227" s="154"/>
      <c r="T227" s="155"/>
      <c r="AT227" s="150" t="s">
        <v>193</v>
      </c>
      <c r="AU227" s="150" t="s">
        <v>87</v>
      </c>
      <c r="AV227" s="12" t="s">
        <v>87</v>
      </c>
      <c r="AW227" s="12" t="s">
        <v>36</v>
      </c>
      <c r="AX227" s="12" t="s">
        <v>85</v>
      </c>
      <c r="AY227" s="150" t="s">
        <v>177</v>
      </c>
    </row>
    <row r="228" spans="2:65" s="1" customFormat="1" ht="24.2" customHeight="1">
      <c r="B228" s="128"/>
      <c r="C228" s="129" t="s">
        <v>502</v>
      </c>
      <c r="D228" s="129" t="s">
        <v>180</v>
      </c>
      <c r="E228" s="130" t="s">
        <v>1533</v>
      </c>
      <c r="F228" s="131" t="s">
        <v>1534</v>
      </c>
      <c r="G228" s="132" t="s">
        <v>332</v>
      </c>
      <c r="H228" s="133">
        <v>23.343</v>
      </c>
      <c r="I228" s="134"/>
      <c r="J228" s="135">
        <f>ROUND(I228*H228,2)</f>
        <v>0</v>
      </c>
      <c r="K228" s="131" t="s">
        <v>184</v>
      </c>
      <c r="L228" s="33"/>
      <c r="M228" s="136" t="s">
        <v>3</v>
      </c>
      <c r="N228" s="137" t="s">
        <v>48</v>
      </c>
      <c r="P228" s="138">
        <f>O228*H228</f>
        <v>0</v>
      </c>
      <c r="Q228" s="138">
        <v>0.00359</v>
      </c>
      <c r="R228" s="138">
        <f>Q228*H228</f>
        <v>0.08380137</v>
      </c>
      <c r="S228" s="138">
        <v>0</v>
      </c>
      <c r="T228" s="139">
        <f>S228*H228</f>
        <v>0</v>
      </c>
      <c r="AR228" s="140" t="s">
        <v>185</v>
      </c>
      <c r="AT228" s="140" t="s">
        <v>180</v>
      </c>
      <c r="AU228" s="140" t="s">
        <v>87</v>
      </c>
      <c r="AY228" s="18" t="s">
        <v>177</v>
      </c>
      <c r="BE228" s="141">
        <f>IF(N228="základní",J228,0)</f>
        <v>0</v>
      </c>
      <c r="BF228" s="141">
        <f>IF(N228="snížená",J228,0)</f>
        <v>0</v>
      </c>
      <c r="BG228" s="141">
        <f>IF(N228="zákl. přenesená",J228,0)</f>
        <v>0</v>
      </c>
      <c r="BH228" s="141">
        <f>IF(N228="sníž. přenesená",J228,0)</f>
        <v>0</v>
      </c>
      <c r="BI228" s="141">
        <f>IF(N228="nulová",J228,0)</f>
        <v>0</v>
      </c>
      <c r="BJ228" s="18" t="s">
        <v>85</v>
      </c>
      <c r="BK228" s="141">
        <f>ROUND(I228*H228,2)</f>
        <v>0</v>
      </c>
      <c r="BL228" s="18" t="s">
        <v>185</v>
      </c>
      <c r="BM228" s="140" t="s">
        <v>1860</v>
      </c>
    </row>
    <row r="229" spans="2:47" s="1" customFormat="1" ht="19.5">
      <c r="B229" s="33"/>
      <c r="D229" s="142" t="s">
        <v>187</v>
      </c>
      <c r="F229" s="143" t="s">
        <v>1536</v>
      </c>
      <c r="I229" s="144"/>
      <c r="L229" s="33"/>
      <c r="M229" s="145"/>
      <c r="T229" s="54"/>
      <c r="AT229" s="18" t="s">
        <v>187</v>
      </c>
      <c r="AU229" s="18" t="s">
        <v>87</v>
      </c>
    </row>
    <row r="230" spans="2:47" s="1" customFormat="1" ht="11.25">
      <c r="B230" s="33"/>
      <c r="D230" s="146" t="s">
        <v>189</v>
      </c>
      <c r="F230" s="147" t="s">
        <v>1537</v>
      </c>
      <c r="I230" s="144"/>
      <c r="L230" s="33"/>
      <c r="M230" s="145"/>
      <c r="T230" s="54"/>
      <c r="AT230" s="18" t="s">
        <v>189</v>
      </c>
      <c r="AU230" s="18" t="s">
        <v>87</v>
      </c>
    </row>
    <row r="231" spans="2:47" s="1" customFormat="1" ht="39">
      <c r="B231" s="33"/>
      <c r="D231" s="142" t="s">
        <v>191</v>
      </c>
      <c r="F231" s="148" t="s">
        <v>448</v>
      </c>
      <c r="I231" s="144"/>
      <c r="L231" s="33"/>
      <c r="M231" s="145"/>
      <c r="T231" s="54"/>
      <c r="AT231" s="18" t="s">
        <v>191</v>
      </c>
      <c r="AU231" s="18" t="s">
        <v>87</v>
      </c>
    </row>
    <row r="232" spans="2:65" s="1" customFormat="1" ht="24.2" customHeight="1">
      <c r="B232" s="128"/>
      <c r="C232" s="129" t="s">
        <v>504</v>
      </c>
      <c r="D232" s="129" t="s">
        <v>180</v>
      </c>
      <c r="E232" s="130" t="s">
        <v>1168</v>
      </c>
      <c r="F232" s="131" t="s">
        <v>1169</v>
      </c>
      <c r="G232" s="132" t="s">
        <v>332</v>
      </c>
      <c r="H232" s="133">
        <v>62.249</v>
      </c>
      <c r="I232" s="134"/>
      <c r="J232" s="135">
        <f>ROUND(I232*H232,2)</f>
        <v>0</v>
      </c>
      <c r="K232" s="131" t="s">
        <v>184</v>
      </c>
      <c r="L232" s="33"/>
      <c r="M232" s="136" t="s">
        <v>3</v>
      </c>
      <c r="N232" s="137" t="s">
        <v>48</v>
      </c>
      <c r="P232" s="138">
        <f>O232*H232</f>
        <v>0</v>
      </c>
      <c r="Q232" s="138">
        <v>0.00134</v>
      </c>
      <c r="R232" s="138">
        <f>Q232*H232</f>
        <v>0.08341366</v>
      </c>
      <c r="S232" s="138">
        <v>0</v>
      </c>
      <c r="T232" s="139">
        <f>S232*H232</f>
        <v>0</v>
      </c>
      <c r="AR232" s="140" t="s">
        <v>185</v>
      </c>
      <c r="AT232" s="140" t="s">
        <v>180</v>
      </c>
      <c r="AU232" s="140" t="s">
        <v>87</v>
      </c>
      <c r="AY232" s="18" t="s">
        <v>177</v>
      </c>
      <c r="BE232" s="141">
        <f>IF(N232="základní",J232,0)</f>
        <v>0</v>
      </c>
      <c r="BF232" s="141">
        <f>IF(N232="snížená",J232,0)</f>
        <v>0</v>
      </c>
      <c r="BG232" s="141">
        <f>IF(N232="zákl. přenesená",J232,0)</f>
        <v>0</v>
      </c>
      <c r="BH232" s="141">
        <f>IF(N232="sníž. přenesená",J232,0)</f>
        <v>0</v>
      </c>
      <c r="BI232" s="141">
        <f>IF(N232="nulová",J232,0)</f>
        <v>0</v>
      </c>
      <c r="BJ232" s="18" t="s">
        <v>85</v>
      </c>
      <c r="BK232" s="141">
        <f>ROUND(I232*H232,2)</f>
        <v>0</v>
      </c>
      <c r="BL232" s="18" t="s">
        <v>185</v>
      </c>
      <c r="BM232" s="140" t="s">
        <v>1861</v>
      </c>
    </row>
    <row r="233" spans="2:47" s="1" customFormat="1" ht="19.5">
      <c r="B233" s="33"/>
      <c r="D233" s="142" t="s">
        <v>187</v>
      </c>
      <c r="F233" s="143" t="s">
        <v>1171</v>
      </c>
      <c r="I233" s="144"/>
      <c r="L233" s="33"/>
      <c r="M233" s="145"/>
      <c r="T233" s="54"/>
      <c r="AT233" s="18" t="s">
        <v>187</v>
      </c>
      <c r="AU233" s="18" t="s">
        <v>87</v>
      </c>
    </row>
    <row r="234" spans="2:47" s="1" customFormat="1" ht="11.25">
      <c r="B234" s="33"/>
      <c r="D234" s="146" t="s">
        <v>189</v>
      </c>
      <c r="F234" s="147" t="s">
        <v>1172</v>
      </c>
      <c r="I234" s="144"/>
      <c r="L234" s="33"/>
      <c r="M234" s="145"/>
      <c r="T234" s="54"/>
      <c r="AT234" s="18" t="s">
        <v>189</v>
      </c>
      <c r="AU234" s="18" t="s">
        <v>87</v>
      </c>
    </row>
    <row r="235" spans="2:47" s="1" customFormat="1" ht="48.75">
      <c r="B235" s="33"/>
      <c r="D235" s="142" t="s">
        <v>191</v>
      </c>
      <c r="F235" s="148" t="s">
        <v>459</v>
      </c>
      <c r="I235" s="144"/>
      <c r="L235" s="33"/>
      <c r="M235" s="145"/>
      <c r="T235" s="54"/>
      <c r="AT235" s="18" t="s">
        <v>191</v>
      </c>
      <c r="AU235" s="18" t="s">
        <v>87</v>
      </c>
    </row>
    <row r="236" spans="2:65" s="1" customFormat="1" ht="24.2" customHeight="1">
      <c r="B236" s="128"/>
      <c r="C236" s="129" t="s">
        <v>507</v>
      </c>
      <c r="D236" s="129" t="s">
        <v>180</v>
      </c>
      <c r="E236" s="130" t="s">
        <v>462</v>
      </c>
      <c r="F236" s="131" t="s">
        <v>463</v>
      </c>
      <c r="G236" s="132" t="s">
        <v>332</v>
      </c>
      <c r="H236" s="133">
        <v>108.936</v>
      </c>
      <c r="I236" s="134"/>
      <c r="J236" s="135">
        <f>ROUND(I236*H236,2)</f>
        <v>0</v>
      </c>
      <c r="K236" s="131" t="s">
        <v>184</v>
      </c>
      <c r="L236" s="33"/>
      <c r="M236" s="136" t="s">
        <v>3</v>
      </c>
      <c r="N236" s="137" t="s">
        <v>48</v>
      </c>
      <c r="P236" s="138">
        <f>O236*H236</f>
        <v>0</v>
      </c>
      <c r="Q236" s="138">
        <v>0.0021</v>
      </c>
      <c r="R236" s="138">
        <f>Q236*H236</f>
        <v>0.2287656</v>
      </c>
      <c r="S236" s="138">
        <v>0</v>
      </c>
      <c r="T236" s="139">
        <f>S236*H236</f>
        <v>0</v>
      </c>
      <c r="AR236" s="140" t="s">
        <v>185</v>
      </c>
      <c r="AT236" s="140" t="s">
        <v>180</v>
      </c>
      <c r="AU236" s="140" t="s">
        <v>87</v>
      </c>
      <c r="AY236" s="18" t="s">
        <v>177</v>
      </c>
      <c r="BE236" s="141">
        <f>IF(N236="základní",J236,0)</f>
        <v>0</v>
      </c>
      <c r="BF236" s="141">
        <f>IF(N236="snížená",J236,0)</f>
        <v>0</v>
      </c>
      <c r="BG236" s="141">
        <f>IF(N236="zákl. přenesená",J236,0)</f>
        <v>0</v>
      </c>
      <c r="BH236" s="141">
        <f>IF(N236="sníž. přenesená",J236,0)</f>
        <v>0</v>
      </c>
      <c r="BI236" s="141">
        <f>IF(N236="nulová",J236,0)</f>
        <v>0</v>
      </c>
      <c r="BJ236" s="18" t="s">
        <v>85</v>
      </c>
      <c r="BK236" s="141">
        <f>ROUND(I236*H236,2)</f>
        <v>0</v>
      </c>
      <c r="BL236" s="18" t="s">
        <v>185</v>
      </c>
      <c r="BM236" s="140" t="s">
        <v>1862</v>
      </c>
    </row>
    <row r="237" spans="2:47" s="1" customFormat="1" ht="19.5">
      <c r="B237" s="33"/>
      <c r="D237" s="142" t="s">
        <v>187</v>
      </c>
      <c r="F237" s="143" t="s">
        <v>465</v>
      </c>
      <c r="I237" s="144"/>
      <c r="L237" s="33"/>
      <c r="M237" s="145"/>
      <c r="T237" s="54"/>
      <c r="AT237" s="18" t="s">
        <v>187</v>
      </c>
      <c r="AU237" s="18" t="s">
        <v>87</v>
      </c>
    </row>
    <row r="238" spans="2:47" s="1" customFormat="1" ht="11.25">
      <c r="B238" s="33"/>
      <c r="D238" s="146" t="s">
        <v>189</v>
      </c>
      <c r="F238" s="147" t="s">
        <v>466</v>
      </c>
      <c r="I238" s="144"/>
      <c r="L238" s="33"/>
      <c r="M238" s="145"/>
      <c r="T238" s="54"/>
      <c r="AT238" s="18" t="s">
        <v>189</v>
      </c>
      <c r="AU238" s="18" t="s">
        <v>87</v>
      </c>
    </row>
    <row r="239" spans="2:51" s="12" customFormat="1" ht="11.25">
      <c r="B239" s="149"/>
      <c r="D239" s="142" t="s">
        <v>193</v>
      </c>
      <c r="E239" s="150" t="s">
        <v>3</v>
      </c>
      <c r="F239" s="151" t="s">
        <v>1863</v>
      </c>
      <c r="H239" s="152">
        <v>108.936</v>
      </c>
      <c r="I239" s="153"/>
      <c r="L239" s="149"/>
      <c r="M239" s="154"/>
      <c r="T239" s="155"/>
      <c r="AT239" s="150" t="s">
        <v>193</v>
      </c>
      <c r="AU239" s="150" t="s">
        <v>87</v>
      </c>
      <c r="AV239" s="12" t="s">
        <v>87</v>
      </c>
      <c r="AW239" s="12" t="s">
        <v>36</v>
      </c>
      <c r="AX239" s="12" t="s">
        <v>85</v>
      </c>
      <c r="AY239" s="150" t="s">
        <v>177</v>
      </c>
    </row>
    <row r="240" spans="2:65" s="1" customFormat="1" ht="24.2" customHeight="1">
      <c r="B240" s="128"/>
      <c r="C240" s="129" t="s">
        <v>509</v>
      </c>
      <c r="D240" s="129" t="s">
        <v>180</v>
      </c>
      <c r="E240" s="130" t="s">
        <v>474</v>
      </c>
      <c r="F240" s="131" t="s">
        <v>475</v>
      </c>
      <c r="G240" s="132" t="s">
        <v>476</v>
      </c>
      <c r="H240" s="133">
        <v>77.811</v>
      </c>
      <c r="I240" s="134"/>
      <c r="J240" s="135">
        <f>ROUND(I240*H240,2)</f>
        <v>0</v>
      </c>
      <c r="K240" s="131" t="s">
        <v>184</v>
      </c>
      <c r="L240" s="33"/>
      <c r="M240" s="136" t="s">
        <v>3</v>
      </c>
      <c r="N240" s="137" t="s">
        <v>48</v>
      </c>
      <c r="P240" s="138">
        <f>O240*H240</f>
        <v>0</v>
      </c>
      <c r="Q240" s="138">
        <v>0.0004314</v>
      </c>
      <c r="R240" s="138">
        <f>Q240*H240</f>
        <v>0.0335676654</v>
      </c>
      <c r="S240" s="138">
        <v>0</v>
      </c>
      <c r="T240" s="139">
        <f>S240*H240</f>
        <v>0</v>
      </c>
      <c r="AR240" s="140" t="s">
        <v>185</v>
      </c>
      <c r="AT240" s="140" t="s">
        <v>180</v>
      </c>
      <c r="AU240" s="140" t="s">
        <v>87</v>
      </c>
      <c r="AY240" s="18" t="s">
        <v>177</v>
      </c>
      <c r="BE240" s="141">
        <f>IF(N240="základní",J240,0)</f>
        <v>0</v>
      </c>
      <c r="BF240" s="141">
        <f>IF(N240="snížená",J240,0)</f>
        <v>0</v>
      </c>
      <c r="BG240" s="141">
        <f>IF(N240="zákl. přenesená",J240,0)</f>
        <v>0</v>
      </c>
      <c r="BH240" s="141">
        <f>IF(N240="sníž. přenesená",J240,0)</f>
        <v>0</v>
      </c>
      <c r="BI240" s="141">
        <f>IF(N240="nulová",J240,0)</f>
        <v>0</v>
      </c>
      <c r="BJ240" s="18" t="s">
        <v>85</v>
      </c>
      <c r="BK240" s="141">
        <f>ROUND(I240*H240,2)</f>
        <v>0</v>
      </c>
      <c r="BL240" s="18" t="s">
        <v>185</v>
      </c>
      <c r="BM240" s="140" t="s">
        <v>1864</v>
      </c>
    </row>
    <row r="241" spans="2:47" s="1" customFormat="1" ht="19.5">
      <c r="B241" s="33"/>
      <c r="D241" s="142" t="s">
        <v>187</v>
      </c>
      <c r="F241" s="143" t="s">
        <v>478</v>
      </c>
      <c r="I241" s="144"/>
      <c r="L241" s="33"/>
      <c r="M241" s="145"/>
      <c r="T241" s="54"/>
      <c r="AT241" s="18" t="s">
        <v>187</v>
      </c>
      <c r="AU241" s="18" t="s">
        <v>87</v>
      </c>
    </row>
    <row r="242" spans="2:47" s="1" customFormat="1" ht="11.25">
      <c r="B242" s="33"/>
      <c r="D242" s="146" t="s">
        <v>189</v>
      </c>
      <c r="F242" s="147" t="s">
        <v>479</v>
      </c>
      <c r="I242" s="144"/>
      <c r="L242" s="33"/>
      <c r="M242" s="145"/>
      <c r="T242" s="54"/>
      <c r="AT242" s="18" t="s">
        <v>189</v>
      </c>
      <c r="AU242" s="18" t="s">
        <v>87</v>
      </c>
    </row>
    <row r="243" spans="2:47" s="1" customFormat="1" ht="107.25">
      <c r="B243" s="33"/>
      <c r="D243" s="142" t="s">
        <v>191</v>
      </c>
      <c r="F243" s="148" t="s">
        <v>480</v>
      </c>
      <c r="I243" s="144"/>
      <c r="L243" s="33"/>
      <c r="M243" s="145"/>
      <c r="T243" s="54"/>
      <c r="AT243" s="18" t="s">
        <v>191</v>
      </c>
      <c r="AU243" s="18" t="s">
        <v>87</v>
      </c>
    </row>
    <row r="244" spans="2:51" s="13" customFormat="1" ht="11.25">
      <c r="B244" s="156"/>
      <c r="D244" s="142" t="s">
        <v>193</v>
      </c>
      <c r="E244" s="157" t="s">
        <v>3</v>
      </c>
      <c r="F244" s="158" t="s">
        <v>481</v>
      </c>
      <c r="H244" s="157" t="s">
        <v>3</v>
      </c>
      <c r="I244" s="159"/>
      <c r="L244" s="156"/>
      <c r="M244" s="160"/>
      <c r="T244" s="161"/>
      <c r="AT244" s="157" t="s">
        <v>193</v>
      </c>
      <c r="AU244" s="157" t="s">
        <v>87</v>
      </c>
      <c r="AV244" s="13" t="s">
        <v>85</v>
      </c>
      <c r="AW244" s="13" t="s">
        <v>36</v>
      </c>
      <c r="AX244" s="13" t="s">
        <v>77</v>
      </c>
      <c r="AY244" s="157" t="s">
        <v>177</v>
      </c>
    </row>
    <row r="245" spans="2:51" s="12" customFormat="1" ht="11.25">
      <c r="B245" s="149"/>
      <c r="D245" s="142" t="s">
        <v>193</v>
      </c>
      <c r="E245" s="150" t="s">
        <v>3</v>
      </c>
      <c r="F245" s="151" t="s">
        <v>1865</v>
      </c>
      <c r="H245" s="152">
        <v>77.811</v>
      </c>
      <c r="I245" s="153"/>
      <c r="L245" s="149"/>
      <c r="M245" s="154"/>
      <c r="T245" s="155"/>
      <c r="AT245" s="150" t="s">
        <v>193</v>
      </c>
      <c r="AU245" s="150" t="s">
        <v>87</v>
      </c>
      <c r="AV245" s="12" t="s">
        <v>87</v>
      </c>
      <c r="AW245" s="12" t="s">
        <v>36</v>
      </c>
      <c r="AX245" s="12" t="s">
        <v>85</v>
      </c>
      <c r="AY245" s="150" t="s">
        <v>177</v>
      </c>
    </row>
    <row r="246" spans="2:65" s="1" customFormat="1" ht="24.2" customHeight="1">
      <c r="B246" s="128"/>
      <c r="C246" s="179" t="s">
        <v>512</v>
      </c>
      <c r="D246" s="179" t="s">
        <v>484</v>
      </c>
      <c r="E246" s="180" t="s">
        <v>485</v>
      </c>
      <c r="F246" s="181" t="s">
        <v>486</v>
      </c>
      <c r="G246" s="182" t="s">
        <v>183</v>
      </c>
      <c r="H246" s="183">
        <v>0.076</v>
      </c>
      <c r="I246" s="184"/>
      <c r="J246" s="185">
        <f>ROUND(I246*H246,2)</f>
        <v>0</v>
      </c>
      <c r="K246" s="181" t="s">
        <v>184</v>
      </c>
      <c r="L246" s="186"/>
      <c r="M246" s="187" t="s">
        <v>3</v>
      </c>
      <c r="N246" s="188" t="s">
        <v>48</v>
      </c>
      <c r="P246" s="138">
        <f>O246*H246</f>
        <v>0</v>
      </c>
      <c r="Q246" s="138">
        <v>1</v>
      </c>
      <c r="R246" s="138">
        <f>Q246*H246</f>
        <v>0.076</v>
      </c>
      <c r="S246" s="138">
        <v>0</v>
      </c>
      <c r="T246" s="139">
        <f>S246*H246</f>
        <v>0</v>
      </c>
      <c r="AR246" s="140" t="s">
        <v>248</v>
      </c>
      <c r="AT246" s="140" t="s">
        <v>484</v>
      </c>
      <c r="AU246" s="140" t="s">
        <v>87</v>
      </c>
      <c r="AY246" s="18" t="s">
        <v>177</v>
      </c>
      <c r="BE246" s="141">
        <f>IF(N246="základní",J246,0)</f>
        <v>0</v>
      </c>
      <c r="BF246" s="141">
        <f>IF(N246="snížená",J246,0)</f>
        <v>0</v>
      </c>
      <c r="BG246" s="141">
        <f>IF(N246="zákl. přenesená",J246,0)</f>
        <v>0</v>
      </c>
      <c r="BH246" s="141">
        <f>IF(N246="sníž. přenesená",J246,0)</f>
        <v>0</v>
      </c>
      <c r="BI246" s="141">
        <f>IF(N246="nulová",J246,0)</f>
        <v>0</v>
      </c>
      <c r="BJ246" s="18" t="s">
        <v>85</v>
      </c>
      <c r="BK246" s="141">
        <f>ROUND(I246*H246,2)</f>
        <v>0</v>
      </c>
      <c r="BL246" s="18" t="s">
        <v>185</v>
      </c>
      <c r="BM246" s="140" t="s">
        <v>1866</v>
      </c>
    </row>
    <row r="247" spans="2:47" s="1" customFormat="1" ht="19.5">
      <c r="B247" s="33"/>
      <c r="D247" s="142" t="s">
        <v>187</v>
      </c>
      <c r="F247" s="143" t="s">
        <v>488</v>
      </c>
      <c r="I247" s="144"/>
      <c r="L247" s="33"/>
      <c r="M247" s="145"/>
      <c r="T247" s="54"/>
      <c r="AT247" s="18" t="s">
        <v>187</v>
      </c>
      <c r="AU247" s="18" t="s">
        <v>87</v>
      </c>
    </row>
    <row r="248" spans="2:51" s="12" customFormat="1" ht="11.25">
      <c r="B248" s="149"/>
      <c r="D248" s="142" t="s">
        <v>193</v>
      </c>
      <c r="E248" s="150" t="s">
        <v>3</v>
      </c>
      <c r="F248" s="151" t="s">
        <v>1867</v>
      </c>
      <c r="H248" s="152">
        <v>0.076</v>
      </c>
      <c r="I248" s="153"/>
      <c r="L248" s="149"/>
      <c r="M248" s="154"/>
      <c r="T248" s="155"/>
      <c r="AT248" s="150" t="s">
        <v>193</v>
      </c>
      <c r="AU248" s="150" t="s">
        <v>87</v>
      </c>
      <c r="AV248" s="12" t="s">
        <v>87</v>
      </c>
      <c r="AW248" s="12" t="s">
        <v>36</v>
      </c>
      <c r="AX248" s="12" t="s">
        <v>85</v>
      </c>
      <c r="AY248" s="150" t="s">
        <v>177</v>
      </c>
    </row>
    <row r="249" spans="2:65" s="1" customFormat="1" ht="24.2" customHeight="1">
      <c r="B249" s="128"/>
      <c r="C249" s="129" t="s">
        <v>520</v>
      </c>
      <c r="D249" s="129" t="s">
        <v>180</v>
      </c>
      <c r="E249" s="130" t="s">
        <v>491</v>
      </c>
      <c r="F249" s="131" t="s">
        <v>492</v>
      </c>
      <c r="G249" s="132" t="s">
        <v>476</v>
      </c>
      <c r="H249" s="133">
        <v>77.811</v>
      </c>
      <c r="I249" s="134"/>
      <c r="J249" s="135">
        <f>ROUND(I249*H249,2)</f>
        <v>0</v>
      </c>
      <c r="K249" s="131" t="s">
        <v>184</v>
      </c>
      <c r="L249" s="33"/>
      <c r="M249" s="136" t="s">
        <v>3</v>
      </c>
      <c r="N249" s="137" t="s">
        <v>48</v>
      </c>
      <c r="P249" s="138">
        <f>O249*H249</f>
        <v>0</v>
      </c>
      <c r="Q249" s="138">
        <v>0.00100641</v>
      </c>
      <c r="R249" s="138">
        <f>Q249*H249</f>
        <v>0.07830976851</v>
      </c>
      <c r="S249" s="138">
        <v>0.001</v>
      </c>
      <c r="T249" s="139">
        <f>S249*H249</f>
        <v>0.077811</v>
      </c>
      <c r="AR249" s="140" t="s">
        <v>185</v>
      </c>
      <c r="AT249" s="140" t="s">
        <v>180</v>
      </c>
      <c r="AU249" s="140" t="s">
        <v>87</v>
      </c>
      <c r="AY249" s="18" t="s">
        <v>177</v>
      </c>
      <c r="BE249" s="141">
        <f>IF(N249="základní",J249,0)</f>
        <v>0</v>
      </c>
      <c r="BF249" s="141">
        <f>IF(N249="snížená",J249,0)</f>
        <v>0</v>
      </c>
      <c r="BG249" s="141">
        <f>IF(N249="zákl. přenesená",J249,0)</f>
        <v>0</v>
      </c>
      <c r="BH249" s="141">
        <f>IF(N249="sníž. přenesená",J249,0)</f>
        <v>0</v>
      </c>
      <c r="BI249" s="141">
        <f>IF(N249="nulová",J249,0)</f>
        <v>0</v>
      </c>
      <c r="BJ249" s="18" t="s">
        <v>85</v>
      </c>
      <c r="BK249" s="141">
        <f>ROUND(I249*H249,2)</f>
        <v>0</v>
      </c>
      <c r="BL249" s="18" t="s">
        <v>185</v>
      </c>
      <c r="BM249" s="140" t="s">
        <v>1868</v>
      </c>
    </row>
    <row r="250" spans="2:47" s="1" customFormat="1" ht="19.5">
      <c r="B250" s="33"/>
      <c r="D250" s="142" t="s">
        <v>187</v>
      </c>
      <c r="F250" s="143" t="s">
        <v>494</v>
      </c>
      <c r="I250" s="144"/>
      <c r="L250" s="33"/>
      <c r="M250" s="145"/>
      <c r="T250" s="54"/>
      <c r="AT250" s="18" t="s">
        <v>187</v>
      </c>
      <c r="AU250" s="18" t="s">
        <v>87</v>
      </c>
    </row>
    <row r="251" spans="2:47" s="1" customFormat="1" ht="11.25">
      <c r="B251" s="33"/>
      <c r="D251" s="146" t="s">
        <v>189</v>
      </c>
      <c r="F251" s="147" t="s">
        <v>495</v>
      </c>
      <c r="I251" s="144"/>
      <c r="L251" s="33"/>
      <c r="M251" s="145"/>
      <c r="T251" s="54"/>
      <c r="AT251" s="18" t="s">
        <v>189</v>
      </c>
      <c r="AU251" s="18" t="s">
        <v>87</v>
      </c>
    </row>
    <row r="252" spans="2:47" s="1" customFormat="1" ht="107.25">
      <c r="B252" s="33"/>
      <c r="D252" s="142" t="s">
        <v>191</v>
      </c>
      <c r="F252" s="148" t="s">
        <v>480</v>
      </c>
      <c r="I252" s="144"/>
      <c r="L252" s="33"/>
      <c r="M252" s="145"/>
      <c r="T252" s="54"/>
      <c r="AT252" s="18" t="s">
        <v>191</v>
      </c>
      <c r="AU252" s="18" t="s">
        <v>87</v>
      </c>
    </row>
    <row r="253" spans="2:51" s="13" customFormat="1" ht="11.25">
      <c r="B253" s="156"/>
      <c r="D253" s="142" t="s">
        <v>193</v>
      </c>
      <c r="E253" s="157" t="s">
        <v>3</v>
      </c>
      <c r="F253" s="158" t="s">
        <v>481</v>
      </c>
      <c r="H253" s="157" t="s">
        <v>3</v>
      </c>
      <c r="I253" s="159"/>
      <c r="L253" s="156"/>
      <c r="M253" s="160"/>
      <c r="T253" s="161"/>
      <c r="AT253" s="157" t="s">
        <v>193</v>
      </c>
      <c r="AU253" s="157" t="s">
        <v>87</v>
      </c>
      <c r="AV253" s="13" t="s">
        <v>85</v>
      </c>
      <c r="AW253" s="13" t="s">
        <v>36</v>
      </c>
      <c r="AX253" s="13" t="s">
        <v>77</v>
      </c>
      <c r="AY253" s="157" t="s">
        <v>177</v>
      </c>
    </row>
    <row r="254" spans="2:51" s="12" customFormat="1" ht="11.25">
      <c r="B254" s="149"/>
      <c r="D254" s="142" t="s">
        <v>193</v>
      </c>
      <c r="E254" s="150" t="s">
        <v>3</v>
      </c>
      <c r="F254" s="151" t="s">
        <v>1865</v>
      </c>
      <c r="H254" s="152">
        <v>77.811</v>
      </c>
      <c r="I254" s="153"/>
      <c r="L254" s="149"/>
      <c r="M254" s="154"/>
      <c r="T254" s="155"/>
      <c r="AT254" s="150" t="s">
        <v>193</v>
      </c>
      <c r="AU254" s="150" t="s">
        <v>87</v>
      </c>
      <c r="AV254" s="12" t="s">
        <v>87</v>
      </c>
      <c r="AW254" s="12" t="s">
        <v>36</v>
      </c>
      <c r="AX254" s="12" t="s">
        <v>85</v>
      </c>
      <c r="AY254" s="150" t="s">
        <v>177</v>
      </c>
    </row>
    <row r="255" spans="2:65" s="1" customFormat="1" ht="24.2" customHeight="1">
      <c r="B255" s="128"/>
      <c r="C255" s="179" t="s">
        <v>527</v>
      </c>
      <c r="D255" s="179" t="s">
        <v>484</v>
      </c>
      <c r="E255" s="180" t="s">
        <v>497</v>
      </c>
      <c r="F255" s="181" t="s">
        <v>498</v>
      </c>
      <c r="G255" s="182" t="s">
        <v>183</v>
      </c>
      <c r="H255" s="183">
        <v>0.211</v>
      </c>
      <c r="I255" s="184"/>
      <c r="J255" s="185">
        <f>ROUND(I255*H255,2)</f>
        <v>0</v>
      </c>
      <c r="K255" s="181" t="s">
        <v>184</v>
      </c>
      <c r="L255" s="186"/>
      <c r="M255" s="187" t="s">
        <v>3</v>
      </c>
      <c r="N255" s="188" t="s">
        <v>48</v>
      </c>
      <c r="P255" s="138">
        <f>O255*H255</f>
        <v>0</v>
      </c>
      <c r="Q255" s="138">
        <v>1</v>
      </c>
      <c r="R255" s="138">
        <f>Q255*H255</f>
        <v>0.211</v>
      </c>
      <c r="S255" s="138">
        <v>0</v>
      </c>
      <c r="T255" s="139">
        <f>S255*H255</f>
        <v>0</v>
      </c>
      <c r="AR255" s="140" t="s">
        <v>248</v>
      </c>
      <c r="AT255" s="140" t="s">
        <v>484</v>
      </c>
      <c r="AU255" s="140" t="s">
        <v>87</v>
      </c>
      <c r="AY255" s="18" t="s">
        <v>177</v>
      </c>
      <c r="BE255" s="141">
        <f>IF(N255="základní",J255,0)</f>
        <v>0</v>
      </c>
      <c r="BF255" s="141">
        <f>IF(N255="snížená",J255,0)</f>
        <v>0</v>
      </c>
      <c r="BG255" s="141">
        <f>IF(N255="zákl. přenesená",J255,0)</f>
        <v>0</v>
      </c>
      <c r="BH255" s="141">
        <f>IF(N255="sníž. přenesená",J255,0)</f>
        <v>0</v>
      </c>
      <c r="BI255" s="141">
        <f>IF(N255="nulová",J255,0)</f>
        <v>0</v>
      </c>
      <c r="BJ255" s="18" t="s">
        <v>85</v>
      </c>
      <c r="BK255" s="141">
        <f>ROUND(I255*H255,2)</f>
        <v>0</v>
      </c>
      <c r="BL255" s="18" t="s">
        <v>185</v>
      </c>
      <c r="BM255" s="140" t="s">
        <v>1869</v>
      </c>
    </row>
    <row r="256" spans="2:47" s="1" customFormat="1" ht="19.5">
      <c r="B256" s="33"/>
      <c r="D256" s="142" t="s">
        <v>187</v>
      </c>
      <c r="F256" s="143" t="s">
        <v>500</v>
      </c>
      <c r="I256" s="144"/>
      <c r="L256" s="33"/>
      <c r="M256" s="145"/>
      <c r="T256" s="54"/>
      <c r="AT256" s="18" t="s">
        <v>187</v>
      </c>
      <c r="AU256" s="18" t="s">
        <v>87</v>
      </c>
    </row>
    <row r="257" spans="2:51" s="12" customFormat="1" ht="11.25">
      <c r="B257" s="149"/>
      <c r="D257" s="142" t="s">
        <v>193</v>
      </c>
      <c r="E257" s="150" t="s">
        <v>3</v>
      </c>
      <c r="F257" s="151" t="s">
        <v>1870</v>
      </c>
      <c r="H257" s="152">
        <v>0.211</v>
      </c>
      <c r="I257" s="153"/>
      <c r="L257" s="149"/>
      <c r="M257" s="154"/>
      <c r="T257" s="155"/>
      <c r="AT257" s="150" t="s">
        <v>193</v>
      </c>
      <c r="AU257" s="150" t="s">
        <v>87</v>
      </c>
      <c r="AV257" s="12" t="s">
        <v>87</v>
      </c>
      <c r="AW257" s="12" t="s">
        <v>36</v>
      </c>
      <c r="AX257" s="12" t="s">
        <v>85</v>
      </c>
      <c r="AY257" s="150" t="s">
        <v>177</v>
      </c>
    </row>
    <row r="258" spans="2:63" s="11" customFormat="1" ht="22.9" customHeight="1">
      <c r="B258" s="116"/>
      <c r="D258" s="117" t="s">
        <v>76</v>
      </c>
      <c r="E258" s="126" t="s">
        <v>178</v>
      </c>
      <c r="F258" s="126" t="s">
        <v>179</v>
      </c>
      <c r="I258" s="119"/>
      <c r="J258" s="127">
        <f>BK258</f>
        <v>0</v>
      </c>
      <c r="L258" s="116"/>
      <c r="M258" s="121"/>
      <c r="P258" s="122">
        <f>SUM(P259:P280)</f>
        <v>0</v>
      </c>
      <c r="R258" s="122">
        <f>SUM(R259:R280)</f>
        <v>0</v>
      </c>
      <c r="T258" s="123">
        <f>SUM(T259:T280)</f>
        <v>0</v>
      </c>
      <c r="AR258" s="117" t="s">
        <v>85</v>
      </c>
      <c r="AT258" s="124" t="s">
        <v>76</v>
      </c>
      <c r="AU258" s="124" t="s">
        <v>85</v>
      </c>
      <c r="AY258" s="117" t="s">
        <v>177</v>
      </c>
      <c r="BK258" s="125">
        <f>SUM(BK259:BK280)</f>
        <v>0</v>
      </c>
    </row>
    <row r="259" spans="2:65" s="1" customFormat="1" ht="24.2" customHeight="1">
      <c r="B259" s="128"/>
      <c r="C259" s="129" t="s">
        <v>537</v>
      </c>
      <c r="D259" s="129" t="s">
        <v>180</v>
      </c>
      <c r="E259" s="130" t="s">
        <v>181</v>
      </c>
      <c r="F259" s="131" t="s">
        <v>182</v>
      </c>
      <c r="G259" s="132" t="s">
        <v>183</v>
      </c>
      <c r="H259" s="133">
        <v>193.268</v>
      </c>
      <c r="I259" s="134"/>
      <c r="J259" s="135">
        <f>ROUND(I259*H259,2)</f>
        <v>0</v>
      </c>
      <c r="K259" s="131" t="s">
        <v>184</v>
      </c>
      <c r="L259" s="33"/>
      <c r="M259" s="136" t="s">
        <v>3</v>
      </c>
      <c r="N259" s="137" t="s">
        <v>48</v>
      </c>
      <c r="P259" s="138">
        <f>O259*H259</f>
        <v>0</v>
      </c>
      <c r="Q259" s="138">
        <v>0</v>
      </c>
      <c r="R259" s="138">
        <f>Q259*H259</f>
        <v>0</v>
      </c>
      <c r="S259" s="138">
        <v>0</v>
      </c>
      <c r="T259" s="139">
        <f>S259*H259</f>
        <v>0</v>
      </c>
      <c r="AR259" s="140" t="s">
        <v>185</v>
      </c>
      <c r="AT259" s="140" t="s">
        <v>180</v>
      </c>
      <c r="AU259" s="140" t="s">
        <v>87</v>
      </c>
      <c r="AY259" s="18" t="s">
        <v>177</v>
      </c>
      <c r="BE259" s="141">
        <f>IF(N259="základní",J259,0)</f>
        <v>0</v>
      </c>
      <c r="BF259" s="141">
        <f>IF(N259="snížená",J259,0)</f>
        <v>0</v>
      </c>
      <c r="BG259" s="141">
        <f>IF(N259="zákl. přenesená",J259,0)</f>
        <v>0</v>
      </c>
      <c r="BH259" s="141">
        <f>IF(N259="sníž. přenesená",J259,0)</f>
        <v>0</v>
      </c>
      <c r="BI259" s="141">
        <f>IF(N259="nulová",J259,0)</f>
        <v>0</v>
      </c>
      <c r="BJ259" s="18" t="s">
        <v>85</v>
      </c>
      <c r="BK259" s="141">
        <f>ROUND(I259*H259,2)</f>
        <v>0</v>
      </c>
      <c r="BL259" s="18" t="s">
        <v>185</v>
      </c>
      <c r="BM259" s="140" t="s">
        <v>1871</v>
      </c>
    </row>
    <row r="260" spans="2:47" s="1" customFormat="1" ht="19.5">
      <c r="B260" s="33"/>
      <c r="D260" s="142" t="s">
        <v>187</v>
      </c>
      <c r="F260" s="143" t="s">
        <v>188</v>
      </c>
      <c r="I260" s="144"/>
      <c r="L260" s="33"/>
      <c r="M260" s="145"/>
      <c r="T260" s="54"/>
      <c r="AT260" s="18" t="s">
        <v>187</v>
      </c>
      <c r="AU260" s="18" t="s">
        <v>87</v>
      </c>
    </row>
    <row r="261" spans="2:47" s="1" customFormat="1" ht="11.25">
      <c r="B261" s="33"/>
      <c r="D261" s="146" t="s">
        <v>189</v>
      </c>
      <c r="F261" s="147" t="s">
        <v>190</v>
      </c>
      <c r="I261" s="144"/>
      <c r="L261" s="33"/>
      <c r="M261" s="145"/>
      <c r="T261" s="54"/>
      <c r="AT261" s="18" t="s">
        <v>189</v>
      </c>
      <c r="AU261" s="18" t="s">
        <v>87</v>
      </c>
    </row>
    <row r="262" spans="2:47" s="1" customFormat="1" ht="146.25">
      <c r="B262" s="33"/>
      <c r="D262" s="142" t="s">
        <v>191</v>
      </c>
      <c r="F262" s="148" t="s">
        <v>192</v>
      </c>
      <c r="I262" s="144"/>
      <c r="L262" s="33"/>
      <c r="M262" s="145"/>
      <c r="T262" s="54"/>
      <c r="AT262" s="18" t="s">
        <v>191</v>
      </c>
      <c r="AU262" s="18" t="s">
        <v>87</v>
      </c>
    </row>
    <row r="263" spans="2:65" s="1" customFormat="1" ht="33" customHeight="1">
      <c r="B263" s="128"/>
      <c r="C263" s="129" t="s">
        <v>756</v>
      </c>
      <c r="D263" s="129" t="s">
        <v>180</v>
      </c>
      <c r="E263" s="130" t="s">
        <v>202</v>
      </c>
      <c r="F263" s="131" t="s">
        <v>203</v>
      </c>
      <c r="G263" s="132" t="s">
        <v>183</v>
      </c>
      <c r="H263" s="133">
        <v>386.536</v>
      </c>
      <c r="I263" s="134"/>
      <c r="J263" s="135">
        <f>ROUND(I263*H263,2)</f>
        <v>0</v>
      </c>
      <c r="K263" s="131" t="s">
        <v>184</v>
      </c>
      <c r="L263" s="33"/>
      <c r="M263" s="136" t="s">
        <v>3</v>
      </c>
      <c r="N263" s="137" t="s">
        <v>48</v>
      </c>
      <c r="P263" s="138">
        <f>O263*H263</f>
        <v>0</v>
      </c>
      <c r="Q263" s="138">
        <v>0</v>
      </c>
      <c r="R263" s="138">
        <f>Q263*H263</f>
        <v>0</v>
      </c>
      <c r="S263" s="138">
        <v>0</v>
      </c>
      <c r="T263" s="139">
        <f>S263*H263</f>
        <v>0</v>
      </c>
      <c r="AR263" s="140" t="s">
        <v>185</v>
      </c>
      <c r="AT263" s="140" t="s">
        <v>180</v>
      </c>
      <c r="AU263" s="140" t="s">
        <v>87</v>
      </c>
      <c r="AY263" s="18" t="s">
        <v>177</v>
      </c>
      <c r="BE263" s="141">
        <f>IF(N263="základní",J263,0)</f>
        <v>0</v>
      </c>
      <c r="BF263" s="141">
        <f>IF(N263="snížená",J263,0)</f>
        <v>0</v>
      </c>
      <c r="BG263" s="141">
        <f>IF(N263="zákl. přenesená",J263,0)</f>
        <v>0</v>
      </c>
      <c r="BH263" s="141">
        <f>IF(N263="sníž. přenesená",J263,0)</f>
        <v>0</v>
      </c>
      <c r="BI263" s="141">
        <f>IF(N263="nulová",J263,0)</f>
        <v>0</v>
      </c>
      <c r="BJ263" s="18" t="s">
        <v>85</v>
      </c>
      <c r="BK263" s="141">
        <f>ROUND(I263*H263,2)</f>
        <v>0</v>
      </c>
      <c r="BL263" s="18" t="s">
        <v>185</v>
      </c>
      <c r="BM263" s="140" t="s">
        <v>1872</v>
      </c>
    </row>
    <row r="264" spans="2:47" s="1" customFormat="1" ht="39">
      <c r="B264" s="33"/>
      <c r="D264" s="142" t="s">
        <v>187</v>
      </c>
      <c r="F264" s="143" t="s">
        <v>205</v>
      </c>
      <c r="I264" s="144"/>
      <c r="L264" s="33"/>
      <c r="M264" s="145"/>
      <c r="T264" s="54"/>
      <c r="AT264" s="18" t="s">
        <v>187</v>
      </c>
      <c r="AU264" s="18" t="s">
        <v>87</v>
      </c>
    </row>
    <row r="265" spans="2:47" s="1" customFormat="1" ht="11.25">
      <c r="B265" s="33"/>
      <c r="D265" s="146" t="s">
        <v>189</v>
      </c>
      <c r="F265" s="147" t="s">
        <v>206</v>
      </c>
      <c r="I265" s="144"/>
      <c r="L265" s="33"/>
      <c r="M265" s="145"/>
      <c r="T265" s="54"/>
      <c r="AT265" s="18" t="s">
        <v>189</v>
      </c>
      <c r="AU265" s="18" t="s">
        <v>87</v>
      </c>
    </row>
    <row r="266" spans="2:47" s="1" customFormat="1" ht="146.25">
      <c r="B266" s="33"/>
      <c r="D266" s="142" t="s">
        <v>191</v>
      </c>
      <c r="F266" s="148" t="s">
        <v>192</v>
      </c>
      <c r="I266" s="144"/>
      <c r="L266" s="33"/>
      <c r="M266" s="145"/>
      <c r="T266" s="54"/>
      <c r="AT266" s="18" t="s">
        <v>191</v>
      </c>
      <c r="AU266" s="18" t="s">
        <v>87</v>
      </c>
    </row>
    <row r="267" spans="2:51" s="12" customFormat="1" ht="11.25">
      <c r="B267" s="149"/>
      <c r="D267" s="142" t="s">
        <v>193</v>
      </c>
      <c r="F267" s="151" t="s">
        <v>1873</v>
      </c>
      <c r="H267" s="152">
        <v>386.536</v>
      </c>
      <c r="I267" s="153"/>
      <c r="L267" s="149"/>
      <c r="M267" s="154"/>
      <c r="T267" s="155"/>
      <c r="AT267" s="150" t="s">
        <v>193</v>
      </c>
      <c r="AU267" s="150" t="s">
        <v>87</v>
      </c>
      <c r="AV267" s="12" t="s">
        <v>87</v>
      </c>
      <c r="AW267" s="12" t="s">
        <v>4</v>
      </c>
      <c r="AX267" s="12" t="s">
        <v>85</v>
      </c>
      <c r="AY267" s="150" t="s">
        <v>177</v>
      </c>
    </row>
    <row r="268" spans="2:65" s="1" customFormat="1" ht="24.2" customHeight="1">
      <c r="B268" s="128"/>
      <c r="C268" s="129" t="s">
        <v>763</v>
      </c>
      <c r="D268" s="129" t="s">
        <v>180</v>
      </c>
      <c r="E268" s="130" t="s">
        <v>208</v>
      </c>
      <c r="F268" s="131" t="s">
        <v>209</v>
      </c>
      <c r="G268" s="132" t="s">
        <v>183</v>
      </c>
      <c r="H268" s="133">
        <v>193.268</v>
      </c>
      <c r="I268" s="134"/>
      <c r="J268" s="135">
        <f>ROUND(I268*H268,2)</f>
        <v>0</v>
      </c>
      <c r="K268" s="131" t="s">
        <v>184</v>
      </c>
      <c r="L268" s="33"/>
      <c r="M268" s="136" t="s">
        <v>3</v>
      </c>
      <c r="N268" s="137" t="s">
        <v>48</v>
      </c>
      <c r="P268" s="138">
        <f>O268*H268</f>
        <v>0</v>
      </c>
      <c r="Q268" s="138">
        <v>0</v>
      </c>
      <c r="R268" s="138">
        <f>Q268*H268</f>
        <v>0</v>
      </c>
      <c r="S268" s="138">
        <v>0</v>
      </c>
      <c r="T268" s="139">
        <f>S268*H268</f>
        <v>0</v>
      </c>
      <c r="AR268" s="140" t="s">
        <v>185</v>
      </c>
      <c r="AT268" s="140" t="s">
        <v>180</v>
      </c>
      <c r="AU268" s="140" t="s">
        <v>87</v>
      </c>
      <c r="AY268" s="18" t="s">
        <v>177</v>
      </c>
      <c r="BE268" s="141">
        <f>IF(N268="základní",J268,0)</f>
        <v>0</v>
      </c>
      <c r="BF268" s="141">
        <f>IF(N268="snížená",J268,0)</f>
        <v>0</v>
      </c>
      <c r="BG268" s="141">
        <f>IF(N268="zákl. přenesená",J268,0)</f>
        <v>0</v>
      </c>
      <c r="BH268" s="141">
        <f>IF(N268="sníž. přenesená",J268,0)</f>
        <v>0</v>
      </c>
      <c r="BI268" s="141">
        <f>IF(N268="nulová",J268,0)</f>
        <v>0</v>
      </c>
      <c r="BJ268" s="18" t="s">
        <v>85</v>
      </c>
      <c r="BK268" s="141">
        <f>ROUND(I268*H268,2)</f>
        <v>0</v>
      </c>
      <c r="BL268" s="18" t="s">
        <v>185</v>
      </c>
      <c r="BM268" s="140" t="s">
        <v>1874</v>
      </c>
    </row>
    <row r="269" spans="2:47" s="1" customFormat="1" ht="19.5">
      <c r="B269" s="33"/>
      <c r="D269" s="142" t="s">
        <v>187</v>
      </c>
      <c r="F269" s="143" t="s">
        <v>211</v>
      </c>
      <c r="I269" s="144"/>
      <c r="L269" s="33"/>
      <c r="M269" s="145"/>
      <c r="T269" s="54"/>
      <c r="AT269" s="18" t="s">
        <v>187</v>
      </c>
      <c r="AU269" s="18" t="s">
        <v>87</v>
      </c>
    </row>
    <row r="270" spans="2:47" s="1" customFormat="1" ht="11.25">
      <c r="B270" s="33"/>
      <c r="D270" s="146" t="s">
        <v>189</v>
      </c>
      <c r="F270" s="147" t="s">
        <v>212</v>
      </c>
      <c r="I270" s="144"/>
      <c r="L270" s="33"/>
      <c r="M270" s="145"/>
      <c r="T270" s="54"/>
      <c r="AT270" s="18" t="s">
        <v>189</v>
      </c>
      <c r="AU270" s="18" t="s">
        <v>87</v>
      </c>
    </row>
    <row r="271" spans="2:47" s="1" customFormat="1" ht="97.5">
      <c r="B271" s="33"/>
      <c r="D271" s="142" t="s">
        <v>191</v>
      </c>
      <c r="F271" s="148" t="s">
        <v>213</v>
      </c>
      <c r="I271" s="144"/>
      <c r="L271" s="33"/>
      <c r="M271" s="145"/>
      <c r="T271" s="54"/>
      <c r="AT271" s="18" t="s">
        <v>191</v>
      </c>
      <c r="AU271" s="18" t="s">
        <v>87</v>
      </c>
    </row>
    <row r="272" spans="2:65" s="1" customFormat="1" ht="24.2" customHeight="1">
      <c r="B272" s="128"/>
      <c r="C272" s="129" t="s">
        <v>771</v>
      </c>
      <c r="D272" s="129" t="s">
        <v>180</v>
      </c>
      <c r="E272" s="130" t="s">
        <v>214</v>
      </c>
      <c r="F272" s="131" t="s">
        <v>215</v>
      </c>
      <c r="G272" s="132" t="s">
        <v>183</v>
      </c>
      <c r="H272" s="133">
        <v>3672.092</v>
      </c>
      <c r="I272" s="134"/>
      <c r="J272" s="135">
        <f>ROUND(I272*H272,2)</f>
        <v>0</v>
      </c>
      <c r="K272" s="131" t="s">
        <v>184</v>
      </c>
      <c r="L272" s="33"/>
      <c r="M272" s="136" t="s">
        <v>3</v>
      </c>
      <c r="N272" s="137" t="s">
        <v>48</v>
      </c>
      <c r="P272" s="138">
        <f>O272*H272</f>
        <v>0</v>
      </c>
      <c r="Q272" s="138">
        <v>0</v>
      </c>
      <c r="R272" s="138">
        <f>Q272*H272</f>
        <v>0</v>
      </c>
      <c r="S272" s="138">
        <v>0</v>
      </c>
      <c r="T272" s="139">
        <f>S272*H272</f>
        <v>0</v>
      </c>
      <c r="AR272" s="140" t="s">
        <v>185</v>
      </c>
      <c r="AT272" s="140" t="s">
        <v>180</v>
      </c>
      <c r="AU272" s="140" t="s">
        <v>87</v>
      </c>
      <c r="AY272" s="18" t="s">
        <v>177</v>
      </c>
      <c r="BE272" s="141">
        <f>IF(N272="základní",J272,0)</f>
        <v>0</v>
      </c>
      <c r="BF272" s="141">
        <f>IF(N272="snížená",J272,0)</f>
        <v>0</v>
      </c>
      <c r="BG272" s="141">
        <f>IF(N272="zákl. přenesená",J272,0)</f>
        <v>0</v>
      </c>
      <c r="BH272" s="141">
        <f>IF(N272="sníž. přenesená",J272,0)</f>
        <v>0</v>
      </c>
      <c r="BI272" s="141">
        <f>IF(N272="nulová",J272,0)</f>
        <v>0</v>
      </c>
      <c r="BJ272" s="18" t="s">
        <v>85</v>
      </c>
      <c r="BK272" s="141">
        <f>ROUND(I272*H272,2)</f>
        <v>0</v>
      </c>
      <c r="BL272" s="18" t="s">
        <v>185</v>
      </c>
      <c r="BM272" s="140" t="s">
        <v>1875</v>
      </c>
    </row>
    <row r="273" spans="2:47" s="1" customFormat="1" ht="29.25">
      <c r="B273" s="33"/>
      <c r="D273" s="142" t="s">
        <v>187</v>
      </c>
      <c r="F273" s="143" t="s">
        <v>217</v>
      </c>
      <c r="I273" s="144"/>
      <c r="L273" s="33"/>
      <c r="M273" s="145"/>
      <c r="T273" s="54"/>
      <c r="AT273" s="18" t="s">
        <v>187</v>
      </c>
      <c r="AU273" s="18" t="s">
        <v>87</v>
      </c>
    </row>
    <row r="274" spans="2:47" s="1" customFormat="1" ht="11.25">
      <c r="B274" s="33"/>
      <c r="D274" s="146" t="s">
        <v>189</v>
      </c>
      <c r="F274" s="147" t="s">
        <v>218</v>
      </c>
      <c r="I274" s="144"/>
      <c r="L274" s="33"/>
      <c r="M274" s="145"/>
      <c r="T274" s="54"/>
      <c r="AT274" s="18" t="s">
        <v>189</v>
      </c>
      <c r="AU274" s="18" t="s">
        <v>87</v>
      </c>
    </row>
    <row r="275" spans="2:47" s="1" customFormat="1" ht="97.5">
      <c r="B275" s="33"/>
      <c r="D275" s="142" t="s">
        <v>191</v>
      </c>
      <c r="F275" s="148" t="s">
        <v>213</v>
      </c>
      <c r="I275" s="144"/>
      <c r="L275" s="33"/>
      <c r="M275" s="145"/>
      <c r="T275" s="54"/>
      <c r="AT275" s="18" t="s">
        <v>191</v>
      </c>
      <c r="AU275" s="18" t="s">
        <v>87</v>
      </c>
    </row>
    <row r="276" spans="2:51" s="12" customFormat="1" ht="11.25">
      <c r="B276" s="149"/>
      <c r="D276" s="142" t="s">
        <v>193</v>
      </c>
      <c r="F276" s="151" t="s">
        <v>1876</v>
      </c>
      <c r="H276" s="152">
        <v>3672.092</v>
      </c>
      <c r="I276" s="153"/>
      <c r="L276" s="149"/>
      <c r="M276" s="154"/>
      <c r="T276" s="155"/>
      <c r="AT276" s="150" t="s">
        <v>193</v>
      </c>
      <c r="AU276" s="150" t="s">
        <v>87</v>
      </c>
      <c r="AV276" s="12" t="s">
        <v>87</v>
      </c>
      <c r="AW276" s="12" t="s">
        <v>4</v>
      </c>
      <c r="AX276" s="12" t="s">
        <v>85</v>
      </c>
      <c r="AY276" s="150" t="s">
        <v>177</v>
      </c>
    </row>
    <row r="277" spans="2:65" s="1" customFormat="1" ht="44.25" customHeight="1">
      <c r="B277" s="128"/>
      <c r="C277" s="129" t="s">
        <v>780</v>
      </c>
      <c r="D277" s="129" t="s">
        <v>180</v>
      </c>
      <c r="E277" s="130" t="s">
        <v>223</v>
      </c>
      <c r="F277" s="131" t="s">
        <v>224</v>
      </c>
      <c r="G277" s="132" t="s">
        <v>183</v>
      </c>
      <c r="H277" s="133">
        <v>193.268</v>
      </c>
      <c r="I277" s="134"/>
      <c r="J277" s="135">
        <f>ROUND(I277*H277,2)</f>
        <v>0</v>
      </c>
      <c r="K277" s="131" t="s">
        <v>184</v>
      </c>
      <c r="L277" s="33"/>
      <c r="M277" s="136" t="s">
        <v>3</v>
      </c>
      <c r="N277" s="137" t="s">
        <v>48</v>
      </c>
      <c r="P277" s="138">
        <f>O277*H277</f>
        <v>0</v>
      </c>
      <c r="Q277" s="138">
        <v>0</v>
      </c>
      <c r="R277" s="138">
        <f>Q277*H277</f>
        <v>0</v>
      </c>
      <c r="S277" s="138">
        <v>0</v>
      </c>
      <c r="T277" s="139">
        <f>S277*H277</f>
        <v>0</v>
      </c>
      <c r="AR277" s="140" t="s">
        <v>185</v>
      </c>
      <c r="AT277" s="140" t="s">
        <v>180</v>
      </c>
      <c r="AU277" s="140" t="s">
        <v>87</v>
      </c>
      <c r="AY277" s="18" t="s">
        <v>177</v>
      </c>
      <c r="BE277" s="141">
        <f>IF(N277="základní",J277,0)</f>
        <v>0</v>
      </c>
      <c r="BF277" s="141">
        <f>IF(N277="snížená",J277,0)</f>
        <v>0</v>
      </c>
      <c r="BG277" s="141">
        <f>IF(N277="zákl. přenesená",J277,0)</f>
        <v>0</v>
      </c>
      <c r="BH277" s="141">
        <f>IF(N277="sníž. přenesená",J277,0)</f>
        <v>0</v>
      </c>
      <c r="BI277" s="141">
        <f>IF(N277="nulová",J277,0)</f>
        <v>0</v>
      </c>
      <c r="BJ277" s="18" t="s">
        <v>85</v>
      </c>
      <c r="BK277" s="141">
        <f>ROUND(I277*H277,2)</f>
        <v>0</v>
      </c>
      <c r="BL277" s="18" t="s">
        <v>185</v>
      </c>
      <c r="BM277" s="140" t="s">
        <v>1877</v>
      </c>
    </row>
    <row r="278" spans="2:47" s="1" customFormat="1" ht="29.25">
      <c r="B278" s="33"/>
      <c r="D278" s="142" t="s">
        <v>187</v>
      </c>
      <c r="F278" s="143" t="s">
        <v>226</v>
      </c>
      <c r="I278" s="144"/>
      <c r="L278" s="33"/>
      <c r="M278" s="145"/>
      <c r="T278" s="54"/>
      <c r="AT278" s="18" t="s">
        <v>187</v>
      </c>
      <c r="AU278" s="18" t="s">
        <v>87</v>
      </c>
    </row>
    <row r="279" spans="2:47" s="1" customFormat="1" ht="11.25">
      <c r="B279" s="33"/>
      <c r="D279" s="146" t="s">
        <v>189</v>
      </c>
      <c r="F279" s="147" t="s">
        <v>227</v>
      </c>
      <c r="I279" s="144"/>
      <c r="L279" s="33"/>
      <c r="M279" s="145"/>
      <c r="T279" s="54"/>
      <c r="AT279" s="18" t="s">
        <v>189</v>
      </c>
      <c r="AU279" s="18" t="s">
        <v>87</v>
      </c>
    </row>
    <row r="280" spans="2:47" s="1" customFormat="1" ht="58.5">
      <c r="B280" s="33"/>
      <c r="D280" s="142" t="s">
        <v>191</v>
      </c>
      <c r="F280" s="148" t="s">
        <v>228</v>
      </c>
      <c r="I280" s="144"/>
      <c r="L280" s="33"/>
      <c r="M280" s="145"/>
      <c r="T280" s="54"/>
      <c r="AT280" s="18" t="s">
        <v>191</v>
      </c>
      <c r="AU280" s="18" t="s">
        <v>87</v>
      </c>
    </row>
    <row r="281" spans="2:63" s="11" customFormat="1" ht="22.9" customHeight="1">
      <c r="B281" s="116"/>
      <c r="D281" s="117" t="s">
        <v>76</v>
      </c>
      <c r="E281" s="126" t="s">
        <v>518</v>
      </c>
      <c r="F281" s="126" t="s">
        <v>519</v>
      </c>
      <c r="I281" s="119"/>
      <c r="J281" s="127">
        <f>BK281</f>
        <v>0</v>
      </c>
      <c r="L281" s="116"/>
      <c r="M281" s="121"/>
      <c r="P281" s="122">
        <f>SUM(P282:P285)</f>
        <v>0</v>
      </c>
      <c r="R281" s="122">
        <f>SUM(R282:R285)</f>
        <v>0</v>
      </c>
      <c r="T281" s="123">
        <f>SUM(T282:T285)</f>
        <v>0</v>
      </c>
      <c r="AR281" s="117" t="s">
        <v>85</v>
      </c>
      <c r="AT281" s="124" t="s">
        <v>76</v>
      </c>
      <c r="AU281" s="124" t="s">
        <v>85</v>
      </c>
      <c r="AY281" s="117" t="s">
        <v>177</v>
      </c>
      <c r="BK281" s="125">
        <f>SUM(BK282:BK285)</f>
        <v>0</v>
      </c>
    </row>
    <row r="282" spans="2:65" s="1" customFormat="1" ht="21.75" customHeight="1">
      <c r="B282" s="128"/>
      <c r="C282" s="129" t="s">
        <v>786</v>
      </c>
      <c r="D282" s="129" t="s">
        <v>180</v>
      </c>
      <c r="E282" s="130" t="s">
        <v>521</v>
      </c>
      <c r="F282" s="131" t="s">
        <v>522</v>
      </c>
      <c r="G282" s="132" t="s">
        <v>183</v>
      </c>
      <c r="H282" s="133">
        <v>8.025</v>
      </c>
      <c r="I282" s="134"/>
      <c r="J282" s="135">
        <f>ROUND(I282*H282,2)</f>
        <v>0</v>
      </c>
      <c r="K282" s="131" t="s">
        <v>184</v>
      </c>
      <c r="L282" s="33"/>
      <c r="M282" s="136" t="s">
        <v>3</v>
      </c>
      <c r="N282" s="137" t="s">
        <v>48</v>
      </c>
      <c r="P282" s="138">
        <f>O282*H282</f>
        <v>0</v>
      </c>
      <c r="Q282" s="138">
        <v>0</v>
      </c>
      <c r="R282" s="138">
        <f>Q282*H282</f>
        <v>0</v>
      </c>
      <c r="S282" s="138">
        <v>0</v>
      </c>
      <c r="T282" s="139">
        <f>S282*H282</f>
        <v>0</v>
      </c>
      <c r="AR282" s="140" t="s">
        <v>185</v>
      </c>
      <c r="AT282" s="140" t="s">
        <v>180</v>
      </c>
      <c r="AU282" s="140" t="s">
        <v>87</v>
      </c>
      <c r="AY282" s="18" t="s">
        <v>177</v>
      </c>
      <c r="BE282" s="141">
        <f>IF(N282="základní",J282,0)</f>
        <v>0</v>
      </c>
      <c r="BF282" s="141">
        <f>IF(N282="snížená",J282,0)</f>
        <v>0</v>
      </c>
      <c r="BG282" s="141">
        <f>IF(N282="zákl. přenesená",J282,0)</f>
        <v>0</v>
      </c>
      <c r="BH282" s="141">
        <f>IF(N282="sníž. přenesená",J282,0)</f>
        <v>0</v>
      </c>
      <c r="BI282" s="141">
        <f>IF(N282="nulová",J282,0)</f>
        <v>0</v>
      </c>
      <c r="BJ282" s="18" t="s">
        <v>85</v>
      </c>
      <c r="BK282" s="141">
        <f>ROUND(I282*H282,2)</f>
        <v>0</v>
      </c>
      <c r="BL282" s="18" t="s">
        <v>185</v>
      </c>
      <c r="BM282" s="140" t="s">
        <v>1878</v>
      </c>
    </row>
    <row r="283" spans="2:47" s="1" customFormat="1" ht="39">
      <c r="B283" s="33"/>
      <c r="D283" s="142" t="s">
        <v>187</v>
      </c>
      <c r="F283" s="143" t="s">
        <v>524</v>
      </c>
      <c r="I283" s="144"/>
      <c r="L283" s="33"/>
      <c r="M283" s="145"/>
      <c r="T283" s="54"/>
      <c r="AT283" s="18" t="s">
        <v>187</v>
      </c>
      <c r="AU283" s="18" t="s">
        <v>87</v>
      </c>
    </row>
    <row r="284" spans="2:47" s="1" customFormat="1" ht="11.25">
      <c r="B284" s="33"/>
      <c r="D284" s="146" t="s">
        <v>189</v>
      </c>
      <c r="F284" s="147" t="s">
        <v>525</v>
      </c>
      <c r="I284" s="144"/>
      <c r="L284" s="33"/>
      <c r="M284" s="145"/>
      <c r="T284" s="54"/>
      <c r="AT284" s="18" t="s">
        <v>189</v>
      </c>
      <c r="AU284" s="18" t="s">
        <v>87</v>
      </c>
    </row>
    <row r="285" spans="2:47" s="1" customFormat="1" ht="87.75">
      <c r="B285" s="33"/>
      <c r="D285" s="142" t="s">
        <v>191</v>
      </c>
      <c r="F285" s="148" t="s">
        <v>526</v>
      </c>
      <c r="I285" s="144"/>
      <c r="L285" s="33"/>
      <c r="M285" s="145"/>
      <c r="T285" s="54"/>
      <c r="AT285" s="18" t="s">
        <v>191</v>
      </c>
      <c r="AU285" s="18" t="s">
        <v>87</v>
      </c>
    </row>
    <row r="286" spans="2:63" s="11" customFormat="1" ht="25.9" customHeight="1">
      <c r="B286" s="116"/>
      <c r="D286" s="117" t="s">
        <v>76</v>
      </c>
      <c r="E286" s="118" t="s">
        <v>229</v>
      </c>
      <c r="F286" s="118" t="s">
        <v>230</v>
      </c>
      <c r="I286" s="119"/>
      <c r="J286" s="120">
        <f>BK286</f>
        <v>0</v>
      </c>
      <c r="L286" s="116"/>
      <c r="M286" s="121"/>
      <c r="P286" s="122">
        <f>P287</f>
        <v>0</v>
      </c>
      <c r="R286" s="122">
        <f>R287</f>
        <v>0</v>
      </c>
      <c r="T286" s="123">
        <f>T287</f>
        <v>0.328</v>
      </c>
      <c r="AR286" s="117" t="s">
        <v>87</v>
      </c>
      <c r="AT286" s="124" t="s">
        <v>76</v>
      </c>
      <c r="AU286" s="124" t="s">
        <v>77</v>
      </c>
      <c r="AY286" s="117" t="s">
        <v>177</v>
      </c>
      <c r="BK286" s="125">
        <f>BK287</f>
        <v>0</v>
      </c>
    </row>
    <row r="287" spans="2:63" s="11" customFormat="1" ht="22.9" customHeight="1">
      <c r="B287" s="116"/>
      <c r="D287" s="117" t="s">
        <v>76</v>
      </c>
      <c r="E287" s="126" t="s">
        <v>1557</v>
      </c>
      <c r="F287" s="126" t="s">
        <v>1558</v>
      </c>
      <c r="I287" s="119"/>
      <c r="J287" s="127">
        <f>BK287</f>
        <v>0</v>
      </c>
      <c r="L287" s="116"/>
      <c r="M287" s="121"/>
      <c r="P287" s="122">
        <f>SUM(P288:P295)</f>
        <v>0</v>
      </c>
      <c r="R287" s="122">
        <f>SUM(R288:R295)</f>
        <v>0</v>
      </c>
      <c r="T287" s="123">
        <f>SUM(T288:T295)</f>
        <v>0.328</v>
      </c>
      <c r="AR287" s="117" t="s">
        <v>87</v>
      </c>
      <c r="AT287" s="124" t="s">
        <v>76</v>
      </c>
      <c r="AU287" s="124" t="s">
        <v>85</v>
      </c>
      <c r="AY287" s="117" t="s">
        <v>177</v>
      </c>
      <c r="BK287" s="125">
        <f>SUM(BK288:BK295)</f>
        <v>0</v>
      </c>
    </row>
    <row r="288" spans="2:65" s="1" customFormat="1" ht="24.2" customHeight="1">
      <c r="B288" s="128"/>
      <c r="C288" s="129" t="s">
        <v>793</v>
      </c>
      <c r="D288" s="129" t="s">
        <v>180</v>
      </c>
      <c r="E288" s="130" t="s">
        <v>1559</v>
      </c>
      <c r="F288" s="131" t="s">
        <v>1560</v>
      </c>
      <c r="G288" s="132" t="s">
        <v>236</v>
      </c>
      <c r="H288" s="133">
        <v>9</v>
      </c>
      <c r="I288" s="134"/>
      <c r="J288" s="135">
        <f>ROUND(I288*H288,2)</f>
        <v>0</v>
      </c>
      <c r="K288" s="131" t="s">
        <v>184</v>
      </c>
      <c r="L288" s="33"/>
      <c r="M288" s="136" t="s">
        <v>3</v>
      </c>
      <c r="N288" s="137" t="s">
        <v>48</v>
      </c>
      <c r="P288" s="138">
        <f>O288*H288</f>
        <v>0</v>
      </c>
      <c r="Q288" s="138">
        <v>0</v>
      </c>
      <c r="R288" s="138">
        <f>Q288*H288</f>
        <v>0</v>
      </c>
      <c r="S288" s="138">
        <v>0.024</v>
      </c>
      <c r="T288" s="139">
        <f>S288*H288</f>
        <v>0.216</v>
      </c>
      <c r="AR288" s="140" t="s">
        <v>237</v>
      </c>
      <c r="AT288" s="140" t="s">
        <v>180</v>
      </c>
      <c r="AU288" s="140" t="s">
        <v>87</v>
      </c>
      <c r="AY288" s="18" t="s">
        <v>177</v>
      </c>
      <c r="BE288" s="141">
        <f>IF(N288="základní",J288,0)</f>
        <v>0</v>
      </c>
      <c r="BF288" s="141">
        <f>IF(N288="snížená",J288,0)</f>
        <v>0</v>
      </c>
      <c r="BG288" s="141">
        <f>IF(N288="zákl. přenesená",J288,0)</f>
        <v>0</v>
      </c>
      <c r="BH288" s="141">
        <f>IF(N288="sníž. přenesená",J288,0)</f>
        <v>0</v>
      </c>
      <c r="BI288" s="141">
        <f>IF(N288="nulová",J288,0)</f>
        <v>0</v>
      </c>
      <c r="BJ288" s="18" t="s">
        <v>85</v>
      </c>
      <c r="BK288" s="141">
        <f>ROUND(I288*H288,2)</f>
        <v>0</v>
      </c>
      <c r="BL288" s="18" t="s">
        <v>237</v>
      </c>
      <c r="BM288" s="140" t="s">
        <v>1879</v>
      </c>
    </row>
    <row r="289" spans="2:47" s="1" customFormat="1" ht="19.5">
      <c r="B289" s="33"/>
      <c r="D289" s="142" t="s">
        <v>187</v>
      </c>
      <c r="F289" s="143" t="s">
        <v>1562</v>
      </c>
      <c r="I289" s="144"/>
      <c r="L289" s="33"/>
      <c r="M289" s="145"/>
      <c r="T289" s="54"/>
      <c r="AT289" s="18" t="s">
        <v>187</v>
      </c>
      <c r="AU289" s="18" t="s">
        <v>87</v>
      </c>
    </row>
    <row r="290" spans="2:47" s="1" customFormat="1" ht="11.25">
      <c r="B290" s="33"/>
      <c r="D290" s="146" t="s">
        <v>189</v>
      </c>
      <c r="F290" s="147" t="s">
        <v>1563</v>
      </c>
      <c r="I290" s="144"/>
      <c r="L290" s="33"/>
      <c r="M290" s="145"/>
      <c r="T290" s="54"/>
      <c r="AT290" s="18" t="s">
        <v>189</v>
      </c>
      <c r="AU290" s="18" t="s">
        <v>87</v>
      </c>
    </row>
    <row r="291" spans="2:47" s="1" customFormat="1" ht="39">
      <c r="B291" s="33"/>
      <c r="D291" s="142" t="s">
        <v>191</v>
      </c>
      <c r="F291" s="148" t="s">
        <v>1564</v>
      </c>
      <c r="I291" s="144"/>
      <c r="L291" s="33"/>
      <c r="M291" s="145"/>
      <c r="T291" s="54"/>
      <c r="AT291" s="18" t="s">
        <v>191</v>
      </c>
      <c r="AU291" s="18" t="s">
        <v>87</v>
      </c>
    </row>
    <row r="292" spans="2:65" s="1" customFormat="1" ht="24.2" customHeight="1">
      <c r="B292" s="128"/>
      <c r="C292" s="129" t="s">
        <v>799</v>
      </c>
      <c r="D292" s="129" t="s">
        <v>180</v>
      </c>
      <c r="E292" s="130" t="s">
        <v>1880</v>
      </c>
      <c r="F292" s="131" t="s">
        <v>1881</v>
      </c>
      <c r="G292" s="132" t="s">
        <v>236</v>
      </c>
      <c r="H292" s="133">
        <v>4</v>
      </c>
      <c r="I292" s="134"/>
      <c r="J292" s="135">
        <f>ROUND(I292*H292,2)</f>
        <v>0</v>
      </c>
      <c r="K292" s="131" t="s">
        <v>184</v>
      </c>
      <c r="L292" s="33"/>
      <c r="M292" s="136" t="s">
        <v>3</v>
      </c>
      <c r="N292" s="137" t="s">
        <v>48</v>
      </c>
      <c r="P292" s="138">
        <f>O292*H292</f>
        <v>0</v>
      </c>
      <c r="Q292" s="138">
        <v>0</v>
      </c>
      <c r="R292" s="138">
        <f>Q292*H292</f>
        <v>0</v>
      </c>
      <c r="S292" s="138">
        <v>0.028</v>
      </c>
      <c r="T292" s="139">
        <f>S292*H292</f>
        <v>0.112</v>
      </c>
      <c r="AR292" s="140" t="s">
        <v>237</v>
      </c>
      <c r="AT292" s="140" t="s">
        <v>180</v>
      </c>
      <c r="AU292" s="140" t="s">
        <v>87</v>
      </c>
      <c r="AY292" s="18" t="s">
        <v>177</v>
      </c>
      <c r="BE292" s="141">
        <f>IF(N292="základní",J292,0)</f>
        <v>0</v>
      </c>
      <c r="BF292" s="141">
        <f>IF(N292="snížená",J292,0)</f>
        <v>0</v>
      </c>
      <c r="BG292" s="141">
        <f>IF(N292="zákl. přenesená",J292,0)</f>
        <v>0</v>
      </c>
      <c r="BH292" s="141">
        <f>IF(N292="sníž. přenesená",J292,0)</f>
        <v>0</v>
      </c>
      <c r="BI292" s="141">
        <f>IF(N292="nulová",J292,0)</f>
        <v>0</v>
      </c>
      <c r="BJ292" s="18" t="s">
        <v>85</v>
      </c>
      <c r="BK292" s="141">
        <f>ROUND(I292*H292,2)</f>
        <v>0</v>
      </c>
      <c r="BL292" s="18" t="s">
        <v>237</v>
      </c>
      <c r="BM292" s="140" t="s">
        <v>1882</v>
      </c>
    </row>
    <row r="293" spans="2:47" s="1" customFormat="1" ht="19.5">
      <c r="B293" s="33"/>
      <c r="D293" s="142" t="s">
        <v>187</v>
      </c>
      <c r="F293" s="143" t="s">
        <v>1883</v>
      </c>
      <c r="I293" s="144"/>
      <c r="L293" s="33"/>
      <c r="M293" s="145"/>
      <c r="T293" s="54"/>
      <c r="AT293" s="18" t="s">
        <v>187</v>
      </c>
      <c r="AU293" s="18" t="s">
        <v>87</v>
      </c>
    </row>
    <row r="294" spans="2:47" s="1" customFormat="1" ht="11.25">
      <c r="B294" s="33"/>
      <c r="D294" s="146" t="s">
        <v>189</v>
      </c>
      <c r="F294" s="147" t="s">
        <v>1884</v>
      </c>
      <c r="I294" s="144"/>
      <c r="L294" s="33"/>
      <c r="M294" s="145"/>
      <c r="T294" s="54"/>
      <c r="AT294" s="18" t="s">
        <v>189</v>
      </c>
      <c r="AU294" s="18" t="s">
        <v>87</v>
      </c>
    </row>
    <row r="295" spans="2:47" s="1" customFormat="1" ht="39">
      <c r="B295" s="33"/>
      <c r="D295" s="142" t="s">
        <v>191</v>
      </c>
      <c r="F295" s="148" t="s">
        <v>1564</v>
      </c>
      <c r="I295" s="144"/>
      <c r="L295" s="33"/>
      <c r="M295" s="145"/>
      <c r="T295" s="54"/>
      <c r="AT295" s="18" t="s">
        <v>191</v>
      </c>
      <c r="AU295" s="18" t="s">
        <v>87</v>
      </c>
    </row>
    <row r="296" spans="2:63" s="11" customFormat="1" ht="25.9" customHeight="1">
      <c r="B296" s="116"/>
      <c r="D296" s="117" t="s">
        <v>76</v>
      </c>
      <c r="E296" s="118" t="s">
        <v>313</v>
      </c>
      <c r="F296" s="118" t="s">
        <v>314</v>
      </c>
      <c r="I296" s="119"/>
      <c r="J296" s="120">
        <f>BK296</f>
        <v>0</v>
      </c>
      <c r="L296" s="116"/>
      <c r="M296" s="121"/>
      <c r="P296" s="122">
        <f>SUM(P297:P299)</f>
        <v>0</v>
      </c>
      <c r="R296" s="122">
        <f>SUM(R297:R299)</f>
        <v>0</v>
      </c>
      <c r="T296" s="123">
        <f>SUM(T297:T299)</f>
        <v>0</v>
      </c>
      <c r="AR296" s="117" t="s">
        <v>185</v>
      </c>
      <c r="AT296" s="124" t="s">
        <v>76</v>
      </c>
      <c r="AU296" s="124" t="s">
        <v>77</v>
      </c>
      <c r="AY296" s="117" t="s">
        <v>177</v>
      </c>
      <c r="BK296" s="125">
        <f>SUM(BK297:BK299)</f>
        <v>0</v>
      </c>
    </row>
    <row r="297" spans="2:65" s="1" customFormat="1" ht="16.5" customHeight="1">
      <c r="B297" s="128"/>
      <c r="C297" s="129" t="s">
        <v>1115</v>
      </c>
      <c r="D297" s="129" t="s">
        <v>180</v>
      </c>
      <c r="E297" s="130" t="s">
        <v>528</v>
      </c>
      <c r="F297" s="131" t="s">
        <v>529</v>
      </c>
      <c r="G297" s="132" t="s">
        <v>305</v>
      </c>
      <c r="H297" s="133">
        <v>100</v>
      </c>
      <c r="I297" s="134"/>
      <c r="J297" s="135">
        <f>ROUND(I297*H297,2)</f>
        <v>0</v>
      </c>
      <c r="K297" s="131" t="s">
        <v>184</v>
      </c>
      <c r="L297" s="33"/>
      <c r="M297" s="136" t="s">
        <v>3</v>
      </c>
      <c r="N297" s="137" t="s">
        <v>48</v>
      </c>
      <c r="P297" s="138">
        <f>O297*H297</f>
        <v>0</v>
      </c>
      <c r="Q297" s="138">
        <v>0</v>
      </c>
      <c r="R297" s="138">
        <f>Q297*H297</f>
        <v>0</v>
      </c>
      <c r="S297" s="138">
        <v>0</v>
      </c>
      <c r="T297" s="139">
        <f>S297*H297</f>
        <v>0</v>
      </c>
      <c r="AR297" s="140" t="s">
        <v>318</v>
      </c>
      <c r="AT297" s="140" t="s">
        <v>180</v>
      </c>
      <c r="AU297" s="140" t="s">
        <v>85</v>
      </c>
      <c r="AY297" s="18" t="s">
        <v>177</v>
      </c>
      <c r="BE297" s="141">
        <f>IF(N297="základní",J297,0)</f>
        <v>0</v>
      </c>
      <c r="BF297" s="141">
        <f>IF(N297="snížená",J297,0)</f>
        <v>0</v>
      </c>
      <c r="BG297" s="141">
        <f>IF(N297="zákl. přenesená",J297,0)</f>
        <v>0</v>
      </c>
      <c r="BH297" s="141">
        <f>IF(N297="sníž. přenesená",J297,0)</f>
        <v>0</v>
      </c>
      <c r="BI297" s="141">
        <f>IF(N297="nulová",J297,0)</f>
        <v>0</v>
      </c>
      <c r="BJ297" s="18" t="s">
        <v>85</v>
      </c>
      <c r="BK297" s="141">
        <f>ROUND(I297*H297,2)</f>
        <v>0</v>
      </c>
      <c r="BL297" s="18" t="s">
        <v>318</v>
      </c>
      <c r="BM297" s="140" t="s">
        <v>1885</v>
      </c>
    </row>
    <row r="298" spans="2:47" s="1" customFormat="1" ht="19.5">
      <c r="B298" s="33"/>
      <c r="D298" s="142" t="s">
        <v>187</v>
      </c>
      <c r="F298" s="143" t="s">
        <v>531</v>
      </c>
      <c r="I298" s="144"/>
      <c r="L298" s="33"/>
      <c r="M298" s="145"/>
      <c r="T298" s="54"/>
      <c r="AT298" s="18" t="s">
        <v>187</v>
      </c>
      <c r="AU298" s="18" t="s">
        <v>85</v>
      </c>
    </row>
    <row r="299" spans="2:47" s="1" customFormat="1" ht="11.25">
      <c r="B299" s="33"/>
      <c r="D299" s="146" t="s">
        <v>189</v>
      </c>
      <c r="F299" s="147" t="s">
        <v>532</v>
      </c>
      <c r="I299" s="144"/>
      <c r="L299" s="33"/>
      <c r="M299" s="189"/>
      <c r="N299" s="190"/>
      <c r="O299" s="190"/>
      <c r="P299" s="190"/>
      <c r="Q299" s="190"/>
      <c r="R299" s="190"/>
      <c r="S299" s="190"/>
      <c r="T299" s="191"/>
      <c r="AT299" s="18" t="s">
        <v>189</v>
      </c>
      <c r="AU299" s="18" t="s">
        <v>85</v>
      </c>
    </row>
    <row r="300" spans="2:12" s="1" customFormat="1" ht="6.95" customHeight="1">
      <c r="B300" s="42"/>
      <c r="C300" s="43"/>
      <c r="D300" s="43"/>
      <c r="E300" s="43"/>
      <c r="F300" s="43"/>
      <c r="G300" s="43"/>
      <c r="H300" s="43"/>
      <c r="I300" s="43"/>
      <c r="J300" s="43"/>
      <c r="K300" s="43"/>
      <c r="L300" s="33"/>
    </row>
  </sheetData>
  <autoFilter ref="C86:K299"/>
  <mergeCells count="9">
    <mergeCell ref="E50:H50"/>
    <mergeCell ref="E77:H77"/>
    <mergeCell ref="E79:H79"/>
    <mergeCell ref="L2:V2"/>
    <mergeCell ref="E7:H7"/>
    <mergeCell ref="E9:H9"/>
    <mergeCell ref="E18:H18"/>
    <mergeCell ref="E27:H27"/>
    <mergeCell ref="E48:H48"/>
  </mergeCells>
  <hyperlinks>
    <hyperlink ref="F92" r:id="rId1" display="https://podminky.urs.cz/item/CS_URS_2022_02/411351011"/>
    <hyperlink ref="F98" r:id="rId2" display="https://podminky.urs.cz/item/CS_URS_2022_02/411351012"/>
    <hyperlink ref="F102" r:id="rId3" display="https://podminky.urs.cz/item/CS_URS_2022_02/411354313"/>
    <hyperlink ref="F106" r:id="rId4" display="https://podminky.urs.cz/item/CS_URS_2022_02/411354314"/>
    <hyperlink ref="F111" r:id="rId5" display="https://podminky.urs.cz/item/CS_URS_2022_02/949101111"/>
    <hyperlink ref="F117" r:id="rId6" display="https://podminky.urs.cz/item/CS_URS_2022_02/952901111"/>
    <hyperlink ref="F121" r:id="rId7" display="https://podminky.urs.cz/item/CS_URS_2022_02/962031133"/>
    <hyperlink ref="F127" r:id="rId8" display="https://podminky.urs.cz/item/CS_URS_2022_02/962032241"/>
    <hyperlink ref="F133" r:id="rId9" display="https://podminky.urs.cz/item/CS_URS_2022_02/963051113"/>
    <hyperlink ref="F139" r:id="rId10" display="https://podminky.urs.cz/item/CS_URS_2022_02/965042141"/>
    <hyperlink ref="F143" r:id="rId11" display="https://podminky.urs.cz/item/CS_URS_2022_02/965049111"/>
    <hyperlink ref="F146" r:id="rId12" display="https://podminky.urs.cz/item/CS_URS_2022_02/965081223"/>
    <hyperlink ref="F151" r:id="rId13" display="https://podminky.urs.cz/item/CS_URS_2022_02/968072455"/>
    <hyperlink ref="F158" r:id="rId14" display="https://podminky.urs.cz/item/CS_URS_2022_02/968072456"/>
    <hyperlink ref="F165" r:id="rId15" display="https://podminky.urs.cz/item/CS_URS_2022_02/968082015"/>
    <hyperlink ref="F176" r:id="rId16" display="https://podminky.urs.cz/item/CS_URS_2022_02/968082022"/>
    <hyperlink ref="F182" r:id="rId17" display="https://podminky.urs.cz/item/CS_URS_2022_02/977211112"/>
    <hyperlink ref="F190" r:id="rId18" display="https://podminky.urs.cz/item/CS_URS_2022_02/978013191"/>
    <hyperlink ref="F202" r:id="rId19" display="https://podminky.urs.cz/item/CS_URS_2022_02/985112132"/>
    <hyperlink ref="F206" r:id="rId20" display="https://podminky.urs.cz/item/CS_URS_2022_02/985112133"/>
    <hyperlink ref="F210" r:id="rId21" display="https://podminky.urs.cz/item/CS_URS_2022_02/985121122"/>
    <hyperlink ref="F214" r:id="rId22" display="https://podminky.urs.cz/item/CS_URS_2022_02/985131311"/>
    <hyperlink ref="F218" r:id="rId23" display="https://podminky.urs.cz/item/CS_URS_2022_02/985311312"/>
    <hyperlink ref="F224" r:id="rId24" display="https://podminky.urs.cz/item/CS_URS_2022_02/985311314"/>
    <hyperlink ref="F230" r:id="rId25" display="https://podminky.urs.cz/item/CS_URS_2022_02/985312131"/>
    <hyperlink ref="F234" r:id="rId26" display="https://podminky.urs.cz/item/CS_URS_2022_02/985321112"/>
    <hyperlink ref="F238" r:id="rId27" display="https://podminky.urs.cz/item/CS_URS_2022_02/985323111"/>
    <hyperlink ref="F242" r:id="rId28" display="https://podminky.urs.cz/item/CS_URS_2022_02/985331213"/>
    <hyperlink ref="F251" r:id="rId29" display="https://podminky.urs.cz/item/CS_URS_2022_02/985331217"/>
    <hyperlink ref="F261" r:id="rId30" display="https://podminky.urs.cz/item/CS_URS_2022_02/997013213"/>
    <hyperlink ref="F265" r:id="rId31" display="https://podminky.urs.cz/item/CS_URS_2022_02/997013219"/>
    <hyperlink ref="F270" r:id="rId32" display="https://podminky.urs.cz/item/CS_URS_2022_02/997013501"/>
    <hyperlink ref="F274" r:id="rId33" display="https://podminky.urs.cz/item/CS_URS_2022_02/997013509"/>
    <hyperlink ref="F279" r:id="rId34" display="https://podminky.urs.cz/item/CS_URS_2022_02/997013871"/>
    <hyperlink ref="F284" r:id="rId35" display="https://podminky.urs.cz/item/CS_URS_2022_02/998018002"/>
    <hyperlink ref="F290" r:id="rId36" display="https://podminky.urs.cz/item/CS_URS_2022_02/766691914"/>
    <hyperlink ref="F294" r:id="rId37" display="https://podminky.urs.cz/item/CS_URS_2022_02/766691915"/>
    <hyperlink ref="F299" r:id="rId38"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7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117</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1886</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ROUND(J91,2)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ROUND((SUM(BE91:BE374)),2)</f>
        <v>0</v>
      </c>
      <c r="I33" s="90">
        <v>0.21</v>
      </c>
      <c r="J33" s="89">
        <f>ROUND(((SUM(BE91:BE374))*I33),2)</f>
        <v>0</v>
      </c>
      <c r="L33" s="33"/>
    </row>
    <row r="34" spans="2:12" s="1" customFormat="1" ht="14.45" customHeight="1">
      <c r="B34" s="33"/>
      <c r="E34" s="28" t="s">
        <v>49</v>
      </c>
      <c r="F34" s="89">
        <f>ROUND((SUM(BF91:BF374)),2)</f>
        <v>0</v>
      </c>
      <c r="I34" s="90">
        <v>0.15</v>
      </c>
      <c r="J34" s="89">
        <f>ROUND(((SUM(BF91:BF374))*I34),2)</f>
        <v>0</v>
      </c>
      <c r="L34" s="33"/>
    </row>
    <row r="35" spans="2:12" s="1" customFormat="1" ht="14.45" customHeight="1" hidden="1">
      <c r="B35" s="33"/>
      <c r="E35" s="28" t="s">
        <v>50</v>
      </c>
      <c r="F35" s="89">
        <f>ROUND((SUM(BG91:BG374)),2)</f>
        <v>0</v>
      </c>
      <c r="I35" s="90">
        <v>0.21</v>
      </c>
      <c r="J35" s="89">
        <f>0</f>
        <v>0</v>
      </c>
      <c r="L35" s="33"/>
    </row>
    <row r="36" spans="2:12" s="1" customFormat="1" ht="14.45" customHeight="1" hidden="1">
      <c r="B36" s="33"/>
      <c r="E36" s="28" t="s">
        <v>51</v>
      </c>
      <c r="F36" s="89">
        <f>ROUND((SUM(BH91:BH374)),2)</f>
        <v>0</v>
      </c>
      <c r="I36" s="90">
        <v>0.15</v>
      </c>
      <c r="J36" s="89">
        <f>0</f>
        <v>0</v>
      </c>
      <c r="L36" s="33"/>
    </row>
    <row r="37" spans="2:12" s="1" customFormat="1" ht="14.45" customHeight="1" hidden="1">
      <c r="B37" s="33"/>
      <c r="E37" s="28" t="s">
        <v>52</v>
      </c>
      <c r="F37" s="89">
        <f>ROUND((SUM(BI91:BI374)),2)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E11 - Hrubá stavba nové dispozice 1. NP</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J91</f>
        <v>0</v>
      </c>
      <c r="L59" s="33"/>
      <c r="AU59" s="18" t="s">
        <v>152</v>
      </c>
    </row>
    <row r="60" spans="2:12" s="8" customFormat="1" ht="24.95" customHeight="1">
      <c r="B60" s="100"/>
      <c r="D60" s="101" t="s">
        <v>153</v>
      </c>
      <c r="E60" s="102"/>
      <c r="F60" s="102"/>
      <c r="G60" s="102"/>
      <c r="H60" s="102"/>
      <c r="I60" s="102"/>
      <c r="J60" s="103">
        <f>J92</f>
        <v>0</v>
      </c>
      <c r="L60" s="100"/>
    </row>
    <row r="61" spans="2:12" s="9" customFormat="1" ht="19.9" customHeight="1">
      <c r="B61" s="104"/>
      <c r="D61" s="105" t="s">
        <v>545</v>
      </c>
      <c r="E61" s="106"/>
      <c r="F61" s="106"/>
      <c r="G61" s="106"/>
      <c r="H61" s="106"/>
      <c r="I61" s="106"/>
      <c r="J61" s="107">
        <f>J93</f>
        <v>0</v>
      </c>
      <c r="L61" s="104"/>
    </row>
    <row r="62" spans="2:12" s="9" customFormat="1" ht="19.9" customHeight="1">
      <c r="B62" s="104"/>
      <c r="D62" s="105" t="s">
        <v>1568</v>
      </c>
      <c r="E62" s="106"/>
      <c r="F62" s="106"/>
      <c r="G62" s="106"/>
      <c r="H62" s="106"/>
      <c r="I62" s="106"/>
      <c r="J62" s="107">
        <f>J145</f>
        <v>0</v>
      </c>
      <c r="L62" s="104"/>
    </row>
    <row r="63" spans="2:12" s="9" customFormat="1" ht="14.85" customHeight="1">
      <c r="B63" s="104"/>
      <c r="D63" s="105" t="s">
        <v>1887</v>
      </c>
      <c r="E63" s="106"/>
      <c r="F63" s="106"/>
      <c r="G63" s="106"/>
      <c r="H63" s="106"/>
      <c r="I63" s="106"/>
      <c r="J63" s="107">
        <f>J185</f>
        <v>0</v>
      </c>
      <c r="L63" s="104"/>
    </row>
    <row r="64" spans="2:12" s="9" customFormat="1" ht="19.9" customHeight="1">
      <c r="B64" s="104"/>
      <c r="D64" s="105" t="s">
        <v>546</v>
      </c>
      <c r="E64" s="106"/>
      <c r="F64" s="106"/>
      <c r="G64" s="106"/>
      <c r="H64" s="106"/>
      <c r="I64" s="106"/>
      <c r="J64" s="107">
        <f>J229</f>
        <v>0</v>
      </c>
      <c r="L64" s="104"/>
    </row>
    <row r="65" spans="2:12" s="9" customFormat="1" ht="19.9" customHeight="1">
      <c r="B65" s="104"/>
      <c r="D65" s="105" t="s">
        <v>325</v>
      </c>
      <c r="E65" s="106"/>
      <c r="F65" s="106"/>
      <c r="G65" s="106"/>
      <c r="H65" s="106"/>
      <c r="I65" s="106"/>
      <c r="J65" s="107">
        <f>J282</f>
        <v>0</v>
      </c>
      <c r="L65" s="104"/>
    </row>
    <row r="66" spans="2:12" s="9" customFormat="1" ht="19.9" customHeight="1">
      <c r="B66" s="104"/>
      <c r="D66" s="105" t="s">
        <v>154</v>
      </c>
      <c r="E66" s="106"/>
      <c r="F66" s="106"/>
      <c r="G66" s="106"/>
      <c r="H66" s="106"/>
      <c r="I66" s="106"/>
      <c r="J66" s="107">
        <f>J306</f>
        <v>0</v>
      </c>
      <c r="L66" s="104"/>
    </row>
    <row r="67" spans="2:12" s="9" customFormat="1" ht="19.9" customHeight="1">
      <c r="B67" s="104"/>
      <c r="D67" s="105" t="s">
        <v>326</v>
      </c>
      <c r="E67" s="106"/>
      <c r="F67" s="106"/>
      <c r="G67" s="106"/>
      <c r="H67" s="106"/>
      <c r="I67" s="106"/>
      <c r="J67" s="107">
        <f>J329</f>
        <v>0</v>
      </c>
      <c r="L67" s="104"/>
    </row>
    <row r="68" spans="2:12" s="8" customFormat="1" ht="24.95" customHeight="1">
      <c r="B68" s="100"/>
      <c r="D68" s="101" t="s">
        <v>155</v>
      </c>
      <c r="E68" s="102"/>
      <c r="F68" s="102"/>
      <c r="G68" s="102"/>
      <c r="H68" s="102"/>
      <c r="I68" s="102"/>
      <c r="J68" s="103">
        <f>J334</f>
        <v>0</v>
      </c>
      <c r="L68" s="100"/>
    </row>
    <row r="69" spans="2:12" s="9" customFormat="1" ht="19.9" customHeight="1">
      <c r="B69" s="104"/>
      <c r="D69" s="105" t="s">
        <v>547</v>
      </c>
      <c r="E69" s="106"/>
      <c r="F69" s="106"/>
      <c r="G69" s="106"/>
      <c r="H69" s="106"/>
      <c r="I69" s="106"/>
      <c r="J69" s="107">
        <f>J335</f>
        <v>0</v>
      </c>
      <c r="L69" s="104"/>
    </row>
    <row r="70" spans="2:12" s="9" customFormat="1" ht="19.9" customHeight="1">
      <c r="B70" s="104"/>
      <c r="D70" s="105" t="s">
        <v>924</v>
      </c>
      <c r="E70" s="106"/>
      <c r="F70" s="106"/>
      <c r="G70" s="106"/>
      <c r="H70" s="106"/>
      <c r="I70" s="106"/>
      <c r="J70" s="107">
        <f>J353</f>
        <v>0</v>
      </c>
      <c r="L70" s="104"/>
    </row>
    <row r="71" spans="2:12" s="8" customFormat="1" ht="24.95" customHeight="1">
      <c r="B71" s="100"/>
      <c r="D71" s="101" t="s">
        <v>161</v>
      </c>
      <c r="E71" s="102"/>
      <c r="F71" s="102"/>
      <c r="G71" s="102"/>
      <c r="H71" s="102"/>
      <c r="I71" s="102"/>
      <c r="J71" s="103">
        <f>J371</f>
        <v>0</v>
      </c>
      <c r="L71" s="100"/>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162</v>
      </c>
      <c r="L78" s="33"/>
    </row>
    <row r="79" spans="2:12" s="1" customFormat="1" ht="6.95" customHeight="1">
      <c r="B79" s="33"/>
      <c r="L79" s="33"/>
    </row>
    <row r="80" spans="2:12" s="1" customFormat="1" ht="12" customHeight="1">
      <c r="B80" s="33"/>
      <c r="C80" s="28" t="s">
        <v>17</v>
      </c>
      <c r="L80" s="33"/>
    </row>
    <row r="81" spans="2:12" s="1" customFormat="1" ht="16.5" customHeight="1">
      <c r="B81" s="33"/>
      <c r="E81" s="315" t="str">
        <f>E7</f>
        <v>ZŠ P. HOLÉHO - PŘESTAVBA PLAVECKÉHO PAVILONU</v>
      </c>
      <c r="F81" s="316"/>
      <c r="G81" s="316"/>
      <c r="H81" s="316"/>
      <c r="L81" s="33"/>
    </row>
    <row r="82" spans="2:12" s="1" customFormat="1" ht="12" customHeight="1">
      <c r="B82" s="33"/>
      <c r="C82" s="28" t="s">
        <v>146</v>
      </c>
      <c r="L82" s="33"/>
    </row>
    <row r="83" spans="2:12" s="1" customFormat="1" ht="16.5" customHeight="1">
      <c r="B83" s="33"/>
      <c r="E83" s="281" t="str">
        <f>E9</f>
        <v>E11 - Hrubá stavba nové dispozice 1. NP</v>
      </c>
      <c r="F83" s="317"/>
      <c r="G83" s="317"/>
      <c r="H83" s="317"/>
      <c r="L83" s="33"/>
    </row>
    <row r="84" spans="2:12" s="1" customFormat="1" ht="6.95" customHeight="1">
      <c r="B84" s="33"/>
      <c r="L84" s="33"/>
    </row>
    <row r="85" spans="2:12" s="1" customFormat="1" ht="12" customHeight="1">
      <c r="B85" s="33"/>
      <c r="C85" s="28" t="s">
        <v>21</v>
      </c>
      <c r="F85" s="26" t="str">
        <f>F12</f>
        <v>Prokopa Holého 2632, Louny, 440 01</v>
      </c>
      <c r="I85" s="28" t="s">
        <v>23</v>
      </c>
      <c r="J85" s="50" t="str">
        <f>IF(J12="","",J12)</f>
        <v>21. 9. 2022</v>
      </c>
      <c r="L85" s="33"/>
    </row>
    <row r="86" spans="2:12" s="1" customFormat="1" ht="6.95" customHeight="1">
      <c r="B86" s="33"/>
      <c r="L86" s="33"/>
    </row>
    <row r="87" spans="2:12" s="1" customFormat="1" ht="15.2" customHeight="1">
      <c r="B87" s="33"/>
      <c r="C87" s="28" t="s">
        <v>25</v>
      </c>
      <c r="F87" s="26" t="str">
        <f>E15</f>
        <v>Město Louny</v>
      </c>
      <c r="I87" s="28" t="s">
        <v>32</v>
      </c>
      <c r="J87" s="31" t="str">
        <f>E21</f>
        <v>RYSIK Design s.r.o.</v>
      </c>
      <c r="L87" s="33"/>
    </row>
    <row r="88" spans="2:12" s="1" customFormat="1" ht="25.7" customHeight="1">
      <c r="B88" s="33"/>
      <c r="C88" s="28" t="s">
        <v>30</v>
      </c>
      <c r="F88" s="26" t="str">
        <f>IF(E18="","",E18)</f>
        <v>Vyplň údaj</v>
      </c>
      <c r="I88" s="28" t="s">
        <v>37</v>
      </c>
      <c r="J88" s="31" t="str">
        <f>E24</f>
        <v>ing. Kateřina Tumpachová</v>
      </c>
      <c r="L88" s="33"/>
    </row>
    <row r="89" spans="2:12" s="1" customFormat="1" ht="10.35" customHeight="1">
      <c r="B89" s="33"/>
      <c r="L89" s="33"/>
    </row>
    <row r="90" spans="2:20" s="10" customFormat="1" ht="29.25" customHeight="1">
      <c r="B90" s="108"/>
      <c r="C90" s="109" t="s">
        <v>163</v>
      </c>
      <c r="D90" s="110" t="s">
        <v>62</v>
      </c>
      <c r="E90" s="110" t="s">
        <v>58</v>
      </c>
      <c r="F90" s="110" t="s">
        <v>59</v>
      </c>
      <c r="G90" s="110" t="s">
        <v>164</v>
      </c>
      <c r="H90" s="110" t="s">
        <v>165</v>
      </c>
      <c r="I90" s="110" t="s">
        <v>166</v>
      </c>
      <c r="J90" s="110" t="s">
        <v>151</v>
      </c>
      <c r="K90" s="111" t="s">
        <v>167</v>
      </c>
      <c r="L90" s="108"/>
      <c r="M90" s="57" t="s">
        <v>3</v>
      </c>
      <c r="N90" s="58" t="s">
        <v>47</v>
      </c>
      <c r="O90" s="58" t="s">
        <v>168</v>
      </c>
      <c r="P90" s="58" t="s">
        <v>169</v>
      </c>
      <c r="Q90" s="58" t="s">
        <v>170</v>
      </c>
      <c r="R90" s="58" t="s">
        <v>171</v>
      </c>
      <c r="S90" s="58" t="s">
        <v>172</v>
      </c>
      <c r="T90" s="59" t="s">
        <v>173</v>
      </c>
    </row>
    <row r="91" spans="2:63" s="1" customFormat="1" ht="22.9" customHeight="1">
      <c r="B91" s="33"/>
      <c r="C91" s="62" t="s">
        <v>174</v>
      </c>
      <c r="J91" s="112">
        <f>BK91</f>
        <v>0</v>
      </c>
      <c r="L91" s="33"/>
      <c r="M91" s="60"/>
      <c r="N91" s="51"/>
      <c r="O91" s="51"/>
      <c r="P91" s="113">
        <f>P92+P334+P371</f>
        <v>0</v>
      </c>
      <c r="Q91" s="51"/>
      <c r="R91" s="113">
        <f>R92+R334+R371</f>
        <v>53.1289814539807</v>
      </c>
      <c r="S91" s="51"/>
      <c r="T91" s="114">
        <f>T92+T334+T371</f>
        <v>0.683</v>
      </c>
      <c r="AT91" s="18" t="s">
        <v>76</v>
      </c>
      <c r="AU91" s="18" t="s">
        <v>152</v>
      </c>
      <c r="BK91" s="115">
        <f>BK92+BK334+BK371</f>
        <v>0</v>
      </c>
    </row>
    <row r="92" spans="2:63" s="11" customFormat="1" ht="25.9" customHeight="1">
      <c r="B92" s="116"/>
      <c r="D92" s="117" t="s">
        <v>76</v>
      </c>
      <c r="E92" s="118" t="s">
        <v>175</v>
      </c>
      <c r="F92" s="118" t="s">
        <v>176</v>
      </c>
      <c r="I92" s="119"/>
      <c r="J92" s="120">
        <f>BK92</f>
        <v>0</v>
      </c>
      <c r="L92" s="116"/>
      <c r="M92" s="121"/>
      <c r="P92" s="122">
        <f>P93+P145+P229+P282+P306+P329</f>
        <v>0</v>
      </c>
      <c r="R92" s="122">
        <f>R93+R145+R229+R282+R306+R329</f>
        <v>53.0259143049557</v>
      </c>
      <c r="T92" s="123">
        <f>T93+T145+T229+T282+T306+T329</f>
        <v>0.683</v>
      </c>
      <c r="AR92" s="117" t="s">
        <v>85</v>
      </c>
      <c r="AT92" s="124" t="s">
        <v>76</v>
      </c>
      <c r="AU92" s="124" t="s">
        <v>77</v>
      </c>
      <c r="AY92" s="117" t="s">
        <v>177</v>
      </c>
      <c r="BK92" s="125">
        <f>BK93+BK145+BK229+BK282+BK306+BK329</f>
        <v>0</v>
      </c>
    </row>
    <row r="93" spans="2:63" s="11" customFormat="1" ht="22.9" customHeight="1">
      <c r="B93" s="116"/>
      <c r="D93" s="117" t="s">
        <v>76</v>
      </c>
      <c r="E93" s="126" t="s">
        <v>198</v>
      </c>
      <c r="F93" s="126" t="s">
        <v>559</v>
      </c>
      <c r="I93" s="119"/>
      <c r="J93" s="127">
        <f>BK93</f>
        <v>0</v>
      </c>
      <c r="L93" s="116"/>
      <c r="M93" s="121"/>
      <c r="P93" s="122">
        <f>SUM(P94:P144)</f>
        <v>0</v>
      </c>
      <c r="R93" s="122">
        <f>SUM(R94:R144)</f>
        <v>23.296668790000002</v>
      </c>
      <c r="T93" s="123">
        <f>SUM(T94:T144)</f>
        <v>0</v>
      </c>
      <c r="AR93" s="117" t="s">
        <v>85</v>
      </c>
      <c r="AT93" s="124" t="s">
        <v>76</v>
      </c>
      <c r="AU93" s="124" t="s">
        <v>85</v>
      </c>
      <c r="AY93" s="117" t="s">
        <v>177</v>
      </c>
      <c r="BK93" s="125">
        <f>SUM(BK94:BK144)</f>
        <v>0</v>
      </c>
    </row>
    <row r="94" spans="2:65" s="1" customFormat="1" ht="33" customHeight="1">
      <c r="B94" s="128"/>
      <c r="C94" s="129" t="s">
        <v>85</v>
      </c>
      <c r="D94" s="129" t="s">
        <v>180</v>
      </c>
      <c r="E94" s="130" t="s">
        <v>1694</v>
      </c>
      <c r="F94" s="131" t="s">
        <v>1695</v>
      </c>
      <c r="G94" s="132" t="s">
        <v>332</v>
      </c>
      <c r="H94" s="133">
        <v>50.563</v>
      </c>
      <c r="I94" s="134"/>
      <c r="J94" s="135">
        <f>ROUND(I94*H94,2)</f>
        <v>0</v>
      </c>
      <c r="K94" s="131" t="s">
        <v>184</v>
      </c>
      <c r="L94" s="33"/>
      <c r="M94" s="136" t="s">
        <v>3</v>
      </c>
      <c r="N94" s="137" t="s">
        <v>48</v>
      </c>
      <c r="P94" s="138">
        <f>O94*H94</f>
        <v>0</v>
      </c>
      <c r="Q94" s="138">
        <v>0.16992</v>
      </c>
      <c r="R94" s="138">
        <f>Q94*H94</f>
        <v>8.59166496</v>
      </c>
      <c r="S94" s="138">
        <v>0</v>
      </c>
      <c r="T94" s="139">
        <f>S94*H94</f>
        <v>0</v>
      </c>
      <c r="AR94" s="140" t="s">
        <v>185</v>
      </c>
      <c r="AT94" s="140" t="s">
        <v>180</v>
      </c>
      <c r="AU94" s="140" t="s">
        <v>87</v>
      </c>
      <c r="AY94" s="18" t="s">
        <v>177</v>
      </c>
      <c r="BE94" s="141">
        <f>IF(N94="základní",J94,0)</f>
        <v>0</v>
      </c>
      <c r="BF94" s="141">
        <f>IF(N94="snížená",J94,0)</f>
        <v>0</v>
      </c>
      <c r="BG94" s="141">
        <f>IF(N94="zákl. přenesená",J94,0)</f>
        <v>0</v>
      </c>
      <c r="BH94" s="141">
        <f>IF(N94="sníž. přenesená",J94,0)</f>
        <v>0</v>
      </c>
      <c r="BI94" s="141">
        <f>IF(N94="nulová",J94,0)</f>
        <v>0</v>
      </c>
      <c r="BJ94" s="18" t="s">
        <v>85</v>
      </c>
      <c r="BK94" s="141">
        <f>ROUND(I94*H94,2)</f>
        <v>0</v>
      </c>
      <c r="BL94" s="18" t="s">
        <v>185</v>
      </c>
      <c r="BM94" s="140" t="s">
        <v>1888</v>
      </c>
    </row>
    <row r="95" spans="2:47" s="1" customFormat="1" ht="29.25">
      <c r="B95" s="33"/>
      <c r="D95" s="142" t="s">
        <v>187</v>
      </c>
      <c r="F95" s="143" t="s">
        <v>1697</v>
      </c>
      <c r="I95" s="144"/>
      <c r="L95" s="33"/>
      <c r="M95" s="145"/>
      <c r="T95" s="54"/>
      <c r="AT95" s="18" t="s">
        <v>187</v>
      </c>
      <c r="AU95" s="18" t="s">
        <v>87</v>
      </c>
    </row>
    <row r="96" spans="2:47" s="1" customFormat="1" ht="11.25">
      <c r="B96" s="33"/>
      <c r="D96" s="146" t="s">
        <v>189</v>
      </c>
      <c r="F96" s="147" t="s">
        <v>1698</v>
      </c>
      <c r="I96" s="144"/>
      <c r="L96" s="33"/>
      <c r="M96" s="145"/>
      <c r="T96" s="54"/>
      <c r="AT96" s="18" t="s">
        <v>189</v>
      </c>
      <c r="AU96" s="18" t="s">
        <v>87</v>
      </c>
    </row>
    <row r="97" spans="2:51" s="12" customFormat="1" ht="11.25">
      <c r="B97" s="149"/>
      <c r="D97" s="142" t="s">
        <v>193</v>
      </c>
      <c r="E97" s="150" t="s">
        <v>3</v>
      </c>
      <c r="F97" s="151" t="s">
        <v>1889</v>
      </c>
      <c r="H97" s="152">
        <v>60.238</v>
      </c>
      <c r="I97" s="153"/>
      <c r="L97" s="149"/>
      <c r="M97" s="154"/>
      <c r="T97" s="155"/>
      <c r="AT97" s="150" t="s">
        <v>193</v>
      </c>
      <c r="AU97" s="150" t="s">
        <v>87</v>
      </c>
      <c r="AV97" s="12" t="s">
        <v>87</v>
      </c>
      <c r="AW97" s="12" t="s">
        <v>36</v>
      </c>
      <c r="AX97" s="12" t="s">
        <v>77</v>
      </c>
      <c r="AY97" s="150" t="s">
        <v>177</v>
      </c>
    </row>
    <row r="98" spans="2:51" s="12" customFormat="1" ht="11.25">
      <c r="B98" s="149"/>
      <c r="D98" s="142" t="s">
        <v>193</v>
      </c>
      <c r="E98" s="150" t="s">
        <v>3</v>
      </c>
      <c r="F98" s="151" t="s">
        <v>1890</v>
      </c>
      <c r="H98" s="152">
        <v>-9.675</v>
      </c>
      <c r="I98" s="153"/>
      <c r="L98" s="149"/>
      <c r="M98" s="154"/>
      <c r="T98" s="155"/>
      <c r="AT98" s="150" t="s">
        <v>193</v>
      </c>
      <c r="AU98" s="150" t="s">
        <v>87</v>
      </c>
      <c r="AV98" s="12" t="s">
        <v>87</v>
      </c>
      <c r="AW98" s="12" t="s">
        <v>36</v>
      </c>
      <c r="AX98" s="12" t="s">
        <v>77</v>
      </c>
      <c r="AY98" s="150" t="s">
        <v>177</v>
      </c>
    </row>
    <row r="99" spans="2:51" s="15" customFormat="1" ht="11.25">
      <c r="B99" s="169"/>
      <c r="D99" s="142" t="s">
        <v>193</v>
      </c>
      <c r="E99" s="170" t="s">
        <v>3</v>
      </c>
      <c r="F99" s="171" t="s">
        <v>201</v>
      </c>
      <c r="H99" s="172">
        <v>50.563</v>
      </c>
      <c r="I99" s="173"/>
      <c r="L99" s="169"/>
      <c r="M99" s="174"/>
      <c r="T99" s="175"/>
      <c r="AT99" s="170" t="s">
        <v>193</v>
      </c>
      <c r="AU99" s="170" t="s">
        <v>87</v>
      </c>
      <c r="AV99" s="15" t="s">
        <v>185</v>
      </c>
      <c r="AW99" s="15" t="s">
        <v>36</v>
      </c>
      <c r="AX99" s="15" t="s">
        <v>85</v>
      </c>
      <c r="AY99" s="170" t="s">
        <v>177</v>
      </c>
    </row>
    <row r="100" spans="2:65" s="1" customFormat="1" ht="33" customHeight="1">
      <c r="B100" s="128"/>
      <c r="C100" s="129" t="s">
        <v>87</v>
      </c>
      <c r="D100" s="129" t="s">
        <v>180</v>
      </c>
      <c r="E100" s="130" t="s">
        <v>1708</v>
      </c>
      <c r="F100" s="131" t="s">
        <v>1709</v>
      </c>
      <c r="G100" s="132" t="s">
        <v>236</v>
      </c>
      <c r="H100" s="133">
        <v>6</v>
      </c>
      <c r="I100" s="134"/>
      <c r="J100" s="135">
        <f>ROUND(I100*H100,2)</f>
        <v>0</v>
      </c>
      <c r="K100" s="131" t="s">
        <v>184</v>
      </c>
      <c r="L100" s="33"/>
      <c r="M100" s="136" t="s">
        <v>3</v>
      </c>
      <c r="N100" s="137" t="s">
        <v>48</v>
      </c>
      <c r="P100" s="138">
        <f>O100*H100</f>
        <v>0</v>
      </c>
      <c r="Q100" s="138">
        <v>0.02021</v>
      </c>
      <c r="R100" s="138">
        <f>Q100*H100</f>
        <v>0.12125999999999999</v>
      </c>
      <c r="S100" s="138">
        <v>0</v>
      </c>
      <c r="T100" s="139">
        <f>S100*H100</f>
        <v>0</v>
      </c>
      <c r="AR100" s="140" t="s">
        <v>185</v>
      </c>
      <c r="AT100" s="140" t="s">
        <v>180</v>
      </c>
      <c r="AU100" s="140" t="s">
        <v>87</v>
      </c>
      <c r="AY100" s="18" t="s">
        <v>177</v>
      </c>
      <c r="BE100" s="141">
        <f>IF(N100="základní",J100,0)</f>
        <v>0</v>
      </c>
      <c r="BF100" s="141">
        <f>IF(N100="snížená",J100,0)</f>
        <v>0</v>
      </c>
      <c r="BG100" s="141">
        <f>IF(N100="zákl. přenesená",J100,0)</f>
        <v>0</v>
      </c>
      <c r="BH100" s="141">
        <f>IF(N100="sníž. přenesená",J100,0)</f>
        <v>0</v>
      </c>
      <c r="BI100" s="141">
        <f>IF(N100="nulová",J100,0)</f>
        <v>0</v>
      </c>
      <c r="BJ100" s="18" t="s">
        <v>85</v>
      </c>
      <c r="BK100" s="141">
        <f>ROUND(I100*H100,2)</f>
        <v>0</v>
      </c>
      <c r="BL100" s="18" t="s">
        <v>185</v>
      </c>
      <c r="BM100" s="140" t="s">
        <v>1891</v>
      </c>
    </row>
    <row r="101" spans="2:47" s="1" customFormat="1" ht="29.25">
      <c r="B101" s="33"/>
      <c r="D101" s="142" t="s">
        <v>187</v>
      </c>
      <c r="F101" s="143" t="s">
        <v>1711</v>
      </c>
      <c r="I101" s="144"/>
      <c r="L101" s="33"/>
      <c r="M101" s="145"/>
      <c r="T101" s="54"/>
      <c r="AT101" s="18" t="s">
        <v>187</v>
      </c>
      <c r="AU101" s="18" t="s">
        <v>87</v>
      </c>
    </row>
    <row r="102" spans="2:47" s="1" customFormat="1" ht="11.25">
      <c r="B102" s="33"/>
      <c r="D102" s="146" t="s">
        <v>189</v>
      </c>
      <c r="F102" s="147" t="s">
        <v>1712</v>
      </c>
      <c r="I102" s="144"/>
      <c r="L102" s="33"/>
      <c r="M102" s="145"/>
      <c r="T102" s="54"/>
      <c r="AT102" s="18" t="s">
        <v>189</v>
      </c>
      <c r="AU102" s="18" t="s">
        <v>87</v>
      </c>
    </row>
    <row r="103" spans="2:47" s="1" customFormat="1" ht="39">
      <c r="B103" s="33"/>
      <c r="D103" s="142" t="s">
        <v>191</v>
      </c>
      <c r="F103" s="148" t="s">
        <v>1707</v>
      </c>
      <c r="I103" s="144"/>
      <c r="L103" s="33"/>
      <c r="M103" s="145"/>
      <c r="T103" s="54"/>
      <c r="AT103" s="18" t="s">
        <v>191</v>
      </c>
      <c r="AU103" s="18" t="s">
        <v>87</v>
      </c>
    </row>
    <row r="104" spans="2:65" s="1" customFormat="1" ht="33" customHeight="1">
      <c r="B104" s="128"/>
      <c r="C104" s="129" t="s">
        <v>198</v>
      </c>
      <c r="D104" s="129" t="s">
        <v>180</v>
      </c>
      <c r="E104" s="130" t="s">
        <v>1713</v>
      </c>
      <c r="F104" s="131" t="s">
        <v>1714</v>
      </c>
      <c r="G104" s="132" t="s">
        <v>236</v>
      </c>
      <c r="H104" s="133">
        <v>5</v>
      </c>
      <c r="I104" s="134"/>
      <c r="J104" s="135">
        <f>ROUND(I104*H104,2)</f>
        <v>0</v>
      </c>
      <c r="K104" s="131" t="s">
        <v>184</v>
      </c>
      <c r="L104" s="33"/>
      <c r="M104" s="136" t="s">
        <v>3</v>
      </c>
      <c r="N104" s="137" t="s">
        <v>48</v>
      </c>
      <c r="P104" s="138">
        <f>O104*H104</f>
        <v>0</v>
      </c>
      <c r="Q104" s="138">
        <v>0.03963</v>
      </c>
      <c r="R104" s="138">
        <f>Q104*H104</f>
        <v>0.19815</v>
      </c>
      <c r="S104" s="138">
        <v>0</v>
      </c>
      <c r="T104" s="139">
        <f>S104*H104</f>
        <v>0</v>
      </c>
      <c r="AR104" s="140" t="s">
        <v>185</v>
      </c>
      <c r="AT104" s="140" t="s">
        <v>180</v>
      </c>
      <c r="AU104" s="140" t="s">
        <v>87</v>
      </c>
      <c r="AY104" s="18" t="s">
        <v>177</v>
      </c>
      <c r="BE104" s="141">
        <f>IF(N104="základní",J104,0)</f>
        <v>0</v>
      </c>
      <c r="BF104" s="141">
        <f>IF(N104="snížená",J104,0)</f>
        <v>0</v>
      </c>
      <c r="BG104" s="141">
        <f>IF(N104="zákl. přenesená",J104,0)</f>
        <v>0</v>
      </c>
      <c r="BH104" s="141">
        <f>IF(N104="sníž. přenesená",J104,0)</f>
        <v>0</v>
      </c>
      <c r="BI104" s="141">
        <f>IF(N104="nulová",J104,0)</f>
        <v>0</v>
      </c>
      <c r="BJ104" s="18" t="s">
        <v>85</v>
      </c>
      <c r="BK104" s="141">
        <f>ROUND(I104*H104,2)</f>
        <v>0</v>
      </c>
      <c r="BL104" s="18" t="s">
        <v>185</v>
      </c>
      <c r="BM104" s="140" t="s">
        <v>1892</v>
      </c>
    </row>
    <row r="105" spans="2:47" s="1" customFormat="1" ht="29.25">
      <c r="B105" s="33"/>
      <c r="D105" s="142" t="s">
        <v>187</v>
      </c>
      <c r="F105" s="143" t="s">
        <v>1716</v>
      </c>
      <c r="I105" s="144"/>
      <c r="L105" s="33"/>
      <c r="M105" s="145"/>
      <c r="T105" s="54"/>
      <c r="AT105" s="18" t="s">
        <v>187</v>
      </c>
      <c r="AU105" s="18" t="s">
        <v>87</v>
      </c>
    </row>
    <row r="106" spans="2:47" s="1" customFormat="1" ht="11.25">
      <c r="B106" s="33"/>
      <c r="D106" s="146" t="s">
        <v>189</v>
      </c>
      <c r="F106" s="147" t="s">
        <v>1717</v>
      </c>
      <c r="I106" s="144"/>
      <c r="L106" s="33"/>
      <c r="M106" s="145"/>
      <c r="T106" s="54"/>
      <c r="AT106" s="18" t="s">
        <v>189</v>
      </c>
      <c r="AU106" s="18" t="s">
        <v>87</v>
      </c>
    </row>
    <row r="107" spans="2:47" s="1" customFormat="1" ht="39">
      <c r="B107" s="33"/>
      <c r="D107" s="142" t="s">
        <v>191</v>
      </c>
      <c r="F107" s="148" t="s">
        <v>1707</v>
      </c>
      <c r="I107" s="144"/>
      <c r="L107" s="33"/>
      <c r="M107" s="145"/>
      <c r="T107" s="54"/>
      <c r="AT107" s="18" t="s">
        <v>191</v>
      </c>
      <c r="AU107" s="18" t="s">
        <v>87</v>
      </c>
    </row>
    <row r="108" spans="2:65" s="1" customFormat="1" ht="24.2" customHeight="1">
      <c r="B108" s="128"/>
      <c r="C108" s="129" t="s">
        <v>185</v>
      </c>
      <c r="D108" s="129" t="s">
        <v>180</v>
      </c>
      <c r="E108" s="130" t="s">
        <v>1718</v>
      </c>
      <c r="F108" s="131" t="s">
        <v>1719</v>
      </c>
      <c r="G108" s="132" t="s">
        <v>236</v>
      </c>
      <c r="H108" s="133">
        <v>3</v>
      </c>
      <c r="I108" s="134"/>
      <c r="J108" s="135">
        <f>ROUND(I108*H108,2)</f>
        <v>0</v>
      </c>
      <c r="K108" s="131" t="s">
        <v>184</v>
      </c>
      <c r="L108" s="33"/>
      <c r="M108" s="136" t="s">
        <v>3</v>
      </c>
      <c r="N108" s="137" t="s">
        <v>48</v>
      </c>
      <c r="P108" s="138">
        <f>O108*H108</f>
        <v>0</v>
      </c>
      <c r="Q108" s="138">
        <v>0.10931</v>
      </c>
      <c r="R108" s="138">
        <f>Q108*H108</f>
        <v>0.32793</v>
      </c>
      <c r="S108" s="138">
        <v>0</v>
      </c>
      <c r="T108" s="139">
        <f>S108*H108</f>
        <v>0</v>
      </c>
      <c r="AR108" s="140" t="s">
        <v>185</v>
      </c>
      <c r="AT108" s="140" t="s">
        <v>180</v>
      </c>
      <c r="AU108" s="140" t="s">
        <v>87</v>
      </c>
      <c r="AY108" s="18" t="s">
        <v>177</v>
      </c>
      <c r="BE108" s="141">
        <f>IF(N108="základní",J108,0)</f>
        <v>0</v>
      </c>
      <c r="BF108" s="141">
        <f>IF(N108="snížená",J108,0)</f>
        <v>0</v>
      </c>
      <c r="BG108" s="141">
        <f>IF(N108="zákl. přenesená",J108,0)</f>
        <v>0</v>
      </c>
      <c r="BH108" s="141">
        <f>IF(N108="sníž. přenesená",J108,0)</f>
        <v>0</v>
      </c>
      <c r="BI108" s="141">
        <f>IF(N108="nulová",J108,0)</f>
        <v>0</v>
      </c>
      <c r="BJ108" s="18" t="s">
        <v>85</v>
      </c>
      <c r="BK108" s="141">
        <f>ROUND(I108*H108,2)</f>
        <v>0</v>
      </c>
      <c r="BL108" s="18" t="s">
        <v>185</v>
      </c>
      <c r="BM108" s="140" t="s">
        <v>1893</v>
      </c>
    </row>
    <row r="109" spans="2:47" s="1" customFormat="1" ht="19.5">
      <c r="B109" s="33"/>
      <c r="D109" s="142" t="s">
        <v>187</v>
      </c>
      <c r="F109" s="143" t="s">
        <v>1721</v>
      </c>
      <c r="I109" s="144"/>
      <c r="L109" s="33"/>
      <c r="M109" s="145"/>
      <c r="T109" s="54"/>
      <c r="AT109" s="18" t="s">
        <v>187</v>
      </c>
      <c r="AU109" s="18" t="s">
        <v>87</v>
      </c>
    </row>
    <row r="110" spans="2:47" s="1" customFormat="1" ht="11.25">
      <c r="B110" s="33"/>
      <c r="D110" s="146" t="s">
        <v>189</v>
      </c>
      <c r="F110" s="147" t="s">
        <v>1722</v>
      </c>
      <c r="I110" s="144"/>
      <c r="L110" s="33"/>
      <c r="M110" s="145"/>
      <c r="T110" s="54"/>
      <c r="AT110" s="18" t="s">
        <v>189</v>
      </c>
      <c r="AU110" s="18" t="s">
        <v>87</v>
      </c>
    </row>
    <row r="111" spans="2:47" s="1" customFormat="1" ht="48.75">
      <c r="B111" s="33"/>
      <c r="D111" s="142" t="s">
        <v>191</v>
      </c>
      <c r="F111" s="148" t="s">
        <v>1723</v>
      </c>
      <c r="I111" s="144"/>
      <c r="L111" s="33"/>
      <c r="M111" s="145"/>
      <c r="T111" s="54"/>
      <c r="AT111" s="18" t="s">
        <v>191</v>
      </c>
      <c r="AU111" s="18" t="s">
        <v>87</v>
      </c>
    </row>
    <row r="112" spans="2:65" s="1" customFormat="1" ht="24.2" customHeight="1">
      <c r="B112" s="128"/>
      <c r="C112" s="129" t="s">
        <v>200</v>
      </c>
      <c r="D112" s="129" t="s">
        <v>180</v>
      </c>
      <c r="E112" s="130" t="s">
        <v>1894</v>
      </c>
      <c r="F112" s="131" t="s">
        <v>1895</v>
      </c>
      <c r="G112" s="132" t="s">
        <v>332</v>
      </c>
      <c r="H112" s="133">
        <v>5.25</v>
      </c>
      <c r="I112" s="134"/>
      <c r="J112" s="135">
        <f>ROUND(I112*H112,2)</f>
        <v>0</v>
      </c>
      <c r="K112" s="131" t="s">
        <v>184</v>
      </c>
      <c r="L112" s="33"/>
      <c r="M112" s="136" t="s">
        <v>3</v>
      </c>
      <c r="N112" s="137" t="s">
        <v>48</v>
      </c>
      <c r="P112" s="138">
        <f>O112*H112</f>
        <v>0</v>
      </c>
      <c r="Q112" s="138">
        <v>0.3206</v>
      </c>
      <c r="R112" s="138">
        <f>Q112*H112</f>
        <v>1.68315</v>
      </c>
      <c r="S112" s="138">
        <v>0</v>
      </c>
      <c r="T112" s="139">
        <f>S112*H112</f>
        <v>0</v>
      </c>
      <c r="AR112" s="140" t="s">
        <v>185</v>
      </c>
      <c r="AT112" s="140" t="s">
        <v>180</v>
      </c>
      <c r="AU112" s="140" t="s">
        <v>87</v>
      </c>
      <c r="AY112" s="18" t="s">
        <v>177</v>
      </c>
      <c r="BE112" s="141">
        <f>IF(N112="základní",J112,0)</f>
        <v>0</v>
      </c>
      <c r="BF112" s="141">
        <f>IF(N112="snížená",J112,0)</f>
        <v>0</v>
      </c>
      <c r="BG112" s="141">
        <f>IF(N112="zákl. přenesená",J112,0)</f>
        <v>0</v>
      </c>
      <c r="BH112" s="141">
        <f>IF(N112="sníž. přenesená",J112,0)</f>
        <v>0</v>
      </c>
      <c r="BI112" s="141">
        <f>IF(N112="nulová",J112,0)</f>
        <v>0</v>
      </c>
      <c r="BJ112" s="18" t="s">
        <v>85</v>
      </c>
      <c r="BK112" s="141">
        <f>ROUND(I112*H112,2)</f>
        <v>0</v>
      </c>
      <c r="BL112" s="18" t="s">
        <v>185</v>
      </c>
      <c r="BM112" s="140" t="s">
        <v>1896</v>
      </c>
    </row>
    <row r="113" spans="2:47" s="1" customFormat="1" ht="29.25">
      <c r="B113" s="33"/>
      <c r="D113" s="142" t="s">
        <v>187</v>
      </c>
      <c r="F113" s="143" t="s">
        <v>1897</v>
      </c>
      <c r="I113" s="144"/>
      <c r="L113" s="33"/>
      <c r="M113" s="145"/>
      <c r="T113" s="54"/>
      <c r="AT113" s="18" t="s">
        <v>187</v>
      </c>
      <c r="AU113" s="18" t="s">
        <v>87</v>
      </c>
    </row>
    <row r="114" spans="2:47" s="1" customFormat="1" ht="11.25">
      <c r="B114" s="33"/>
      <c r="D114" s="146" t="s">
        <v>189</v>
      </c>
      <c r="F114" s="147" t="s">
        <v>1898</v>
      </c>
      <c r="I114" s="144"/>
      <c r="L114" s="33"/>
      <c r="M114" s="145"/>
      <c r="T114" s="54"/>
      <c r="AT114" s="18" t="s">
        <v>189</v>
      </c>
      <c r="AU114" s="18" t="s">
        <v>87</v>
      </c>
    </row>
    <row r="115" spans="2:51" s="13" customFormat="1" ht="11.25">
      <c r="B115" s="156"/>
      <c r="D115" s="142" t="s">
        <v>193</v>
      </c>
      <c r="E115" s="157" t="s">
        <v>3</v>
      </c>
      <c r="F115" s="158" t="s">
        <v>187</v>
      </c>
      <c r="H115" s="157" t="s">
        <v>3</v>
      </c>
      <c r="I115" s="159"/>
      <c r="L115" s="156"/>
      <c r="M115" s="160"/>
      <c r="T115" s="161"/>
      <c r="AT115" s="157" t="s">
        <v>193</v>
      </c>
      <c r="AU115" s="157" t="s">
        <v>87</v>
      </c>
      <c r="AV115" s="13" t="s">
        <v>85</v>
      </c>
      <c r="AW115" s="13" t="s">
        <v>36</v>
      </c>
      <c r="AX115" s="13" t="s">
        <v>77</v>
      </c>
      <c r="AY115" s="157" t="s">
        <v>177</v>
      </c>
    </row>
    <row r="116" spans="2:51" s="13" customFormat="1" ht="11.25">
      <c r="B116" s="156"/>
      <c r="D116" s="142" t="s">
        <v>193</v>
      </c>
      <c r="E116" s="157" t="s">
        <v>3</v>
      </c>
      <c r="F116" s="158" t="s">
        <v>1899</v>
      </c>
      <c r="H116" s="157" t="s">
        <v>3</v>
      </c>
      <c r="I116" s="159"/>
      <c r="L116" s="156"/>
      <c r="M116" s="160"/>
      <c r="T116" s="161"/>
      <c r="AT116" s="157" t="s">
        <v>193</v>
      </c>
      <c r="AU116" s="157" t="s">
        <v>87</v>
      </c>
      <c r="AV116" s="13" t="s">
        <v>85</v>
      </c>
      <c r="AW116" s="13" t="s">
        <v>36</v>
      </c>
      <c r="AX116" s="13" t="s">
        <v>77</v>
      </c>
      <c r="AY116" s="157" t="s">
        <v>177</v>
      </c>
    </row>
    <row r="117" spans="2:51" s="12" customFormat="1" ht="11.25">
      <c r="B117" s="149"/>
      <c r="D117" s="142" t="s">
        <v>193</v>
      </c>
      <c r="E117" s="150" t="s">
        <v>3</v>
      </c>
      <c r="F117" s="151" t="s">
        <v>1900</v>
      </c>
      <c r="H117" s="152">
        <v>5.25</v>
      </c>
      <c r="I117" s="153"/>
      <c r="L117" s="149"/>
      <c r="M117" s="154"/>
      <c r="T117" s="155"/>
      <c r="AT117" s="150" t="s">
        <v>193</v>
      </c>
      <c r="AU117" s="150" t="s">
        <v>87</v>
      </c>
      <c r="AV117" s="12" t="s">
        <v>87</v>
      </c>
      <c r="AW117" s="12" t="s">
        <v>36</v>
      </c>
      <c r="AX117" s="12" t="s">
        <v>85</v>
      </c>
      <c r="AY117" s="150" t="s">
        <v>177</v>
      </c>
    </row>
    <row r="118" spans="2:65" s="1" customFormat="1" ht="24.2" customHeight="1">
      <c r="B118" s="128"/>
      <c r="C118" s="129" t="s">
        <v>233</v>
      </c>
      <c r="D118" s="129" t="s">
        <v>180</v>
      </c>
      <c r="E118" s="130" t="s">
        <v>1725</v>
      </c>
      <c r="F118" s="131" t="s">
        <v>1726</v>
      </c>
      <c r="G118" s="132" t="s">
        <v>332</v>
      </c>
      <c r="H118" s="133">
        <v>65.394</v>
      </c>
      <c r="I118" s="134"/>
      <c r="J118" s="135">
        <f>ROUND(I118*H118,2)</f>
        <v>0</v>
      </c>
      <c r="K118" s="131" t="s">
        <v>184</v>
      </c>
      <c r="L118" s="33"/>
      <c r="M118" s="136" t="s">
        <v>3</v>
      </c>
      <c r="N118" s="137" t="s">
        <v>48</v>
      </c>
      <c r="P118" s="138">
        <f>O118*H118</f>
        <v>0</v>
      </c>
      <c r="Q118" s="138">
        <v>0.0525</v>
      </c>
      <c r="R118" s="138">
        <f>Q118*H118</f>
        <v>3.4331850000000004</v>
      </c>
      <c r="S118" s="138">
        <v>0</v>
      </c>
      <c r="T118" s="139">
        <f>S118*H118</f>
        <v>0</v>
      </c>
      <c r="AR118" s="140" t="s">
        <v>185</v>
      </c>
      <c r="AT118" s="140" t="s">
        <v>180</v>
      </c>
      <c r="AU118" s="140" t="s">
        <v>87</v>
      </c>
      <c r="AY118" s="18" t="s">
        <v>177</v>
      </c>
      <c r="BE118" s="141">
        <f>IF(N118="základní",J118,0)</f>
        <v>0</v>
      </c>
      <c r="BF118" s="141">
        <f>IF(N118="snížená",J118,0)</f>
        <v>0</v>
      </c>
      <c r="BG118" s="141">
        <f>IF(N118="zákl. přenesená",J118,0)</f>
        <v>0</v>
      </c>
      <c r="BH118" s="141">
        <f>IF(N118="sníž. přenesená",J118,0)</f>
        <v>0</v>
      </c>
      <c r="BI118" s="141">
        <f>IF(N118="nulová",J118,0)</f>
        <v>0</v>
      </c>
      <c r="BJ118" s="18" t="s">
        <v>85</v>
      </c>
      <c r="BK118" s="141">
        <f>ROUND(I118*H118,2)</f>
        <v>0</v>
      </c>
      <c r="BL118" s="18" t="s">
        <v>185</v>
      </c>
      <c r="BM118" s="140" t="s">
        <v>1901</v>
      </c>
    </row>
    <row r="119" spans="2:47" s="1" customFormat="1" ht="19.5">
      <c r="B119" s="33"/>
      <c r="D119" s="142" t="s">
        <v>187</v>
      </c>
      <c r="F119" s="143" t="s">
        <v>1728</v>
      </c>
      <c r="I119" s="144"/>
      <c r="L119" s="33"/>
      <c r="M119" s="145"/>
      <c r="T119" s="54"/>
      <c r="AT119" s="18" t="s">
        <v>187</v>
      </c>
      <c r="AU119" s="18" t="s">
        <v>87</v>
      </c>
    </row>
    <row r="120" spans="2:47" s="1" customFormat="1" ht="11.25">
      <c r="B120" s="33"/>
      <c r="D120" s="146" t="s">
        <v>189</v>
      </c>
      <c r="F120" s="147" t="s">
        <v>1729</v>
      </c>
      <c r="I120" s="144"/>
      <c r="L120" s="33"/>
      <c r="M120" s="145"/>
      <c r="T120" s="54"/>
      <c r="AT120" s="18" t="s">
        <v>189</v>
      </c>
      <c r="AU120" s="18" t="s">
        <v>87</v>
      </c>
    </row>
    <row r="121" spans="2:51" s="12" customFormat="1" ht="11.25">
      <c r="B121" s="149"/>
      <c r="D121" s="142" t="s">
        <v>193</v>
      </c>
      <c r="E121" s="150" t="s">
        <v>3</v>
      </c>
      <c r="F121" s="151" t="s">
        <v>1902</v>
      </c>
      <c r="H121" s="152">
        <v>73.865</v>
      </c>
      <c r="I121" s="153"/>
      <c r="L121" s="149"/>
      <c r="M121" s="154"/>
      <c r="T121" s="155"/>
      <c r="AT121" s="150" t="s">
        <v>193</v>
      </c>
      <c r="AU121" s="150" t="s">
        <v>87</v>
      </c>
      <c r="AV121" s="12" t="s">
        <v>87</v>
      </c>
      <c r="AW121" s="12" t="s">
        <v>36</v>
      </c>
      <c r="AX121" s="12" t="s">
        <v>77</v>
      </c>
      <c r="AY121" s="150" t="s">
        <v>177</v>
      </c>
    </row>
    <row r="122" spans="2:51" s="12" customFormat="1" ht="11.25">
      <c r="B122" s="149"/>
      <c r="D122" s="142" t="s">
        <v>193</v>
      </c>
      <c r="E122" s="150" t="s">
        <v>3</v>
      </c>
      <c r="F122" s="151" t="s">
        <v>1903</v>
      </c>
      <c r="H122" s="152">
        <v>-1.576</v>
      </c>
      <c r="I122" s="153"/>
      <c r="L122" s="149"/>
      <c r="M122" s="154"/>
      <c r="T122" s="155"/>
      <c r="AT122" s="150" t="s">
        <v>193</v>
      </c>
      <c r="AU122" s="150" t="s">
        <v>87</v>
      </c>
      <c r="AV122" s="12" t="s">
        <v>87</v>
      </c>
      <c r="AW122" s="12" t="s">
        <v>36</v>
      </c>
      <c r="AX122" s="12" t="s">
        <v>77</v>
      </c>
      <c r="AY122" s="150" t="s">
        <v>177</v>
      </c>
    </row>
    <row r="123" spans="2:51" s="12" customFormat="1" ht="11.25">
      <c r="B123" s="149"/>
      <c r="D123" s="142" t="s">
        <v>193</v>
      </c>
      <c r="E123" s="150" t="s">
        <v>3</v>
      </c>
      <c r="F123" s="151" t="s">
        <v>1732</v>
      </c>
      <c r="H123" s="152">
        <v>-6.895</v>
      </c>
      <c r="I123" s="153"/>
      <c r="L123" s="149"/>
      <c r="M123" s="154"/>
      <c r="T123" s="155"/>
      <c r="AT123" s="150" t="s">
        <v>193</v>
      </c>
      <c r="AU123" s="150" t="s">
        <v>87</v>
      </c>
      <c r="AV123" s="12" t="s">
        <v>87</v>
      </c>
      <c r="AW123" s="12" t="s">
        <v>36</v>
      </c>
      <c r="AX123" s="12" t="s">
        <v>77</v>
      </c>
      <c r="AY123" s="150" t="s">
        <v>177</v>
      </c>
    </row>
    <row r="124" spans="2:51" s="15" customFormat="1" ht="11.25">
      <c r="B124" s="169"/>
      <c r="D124" s="142" t="s">
        <v>193</v>
      </c>
      <c r="E124" s="170" t="s">
        <v>3</v>
      </c>
      <c r="F124" s="171" t="s">
        <v>201</v>
      </c>
      <c r="H124" s="172">
        <v>65.394</v>
      </c>
      <c r="I124" s="173"/>
      <c r="L124" s="169"/>
      <c r="M124" s="174"/>
      <c r="T124" s="175"/>
      <c r="AT124" s="170" t="s">
        <v>193</v>
      </c>
      <c r="AU124" s="170" t="s">
        <v>87</v>
      </c>
      <c r="AV124" s="15" t="s">
        <v>185</v>
      </c>
      <c r="AW124" s="15" t="s">
        <v>36</v>
      </c>
      <c r="AX124" s="15" t="s">
        <v>85</v>
      </c>
      <c r="AY124" s="170" t="s">
        <v>177</v>
      </c>
    </row>
    <row r="125" spans="2:65" s="1" customFormat="1" ht="24.2" customHeight="1">
      <c r="B125" s="128"/>
      <c r="C125" s="129" t="s">
        <v>241</v>
      </c>
      <c r="D125" s="129" t="s">
        <v>180</v>
      </c>
      <c r="E125" s="130" t="s">
        <v>1733</v>
      </c>
      <c r="F125" s="131" t="s">
        <v>1734</v>
      </c>
      <c r="G125" s="132" t="s">
        <v>332</v>
      </c>
      <c r="H125" s="133">
        <v>112.623</v>
      </c>
      <c r="I125" s="134"/>
      <c r="J125" s="135">
        <f>ROUND(I125*H125,2)</f>
        <v>0</v>
      </c>
      <c r="K125" s="131" t="s">
        <v>184</v>
      </c>
      <c r="L125" s="33"/>
      <c r="M125" s="136" t="s">
        <v>3</v>
      </c>
      <c r="N125" s="137" t="s">
        <v>48</v>
      </c>
      <c r="P125" s="138">
        <f>O125*H125</f>
        <v>0</v>
      </c>
      <c r="Q125" s="138">
        <v>0.07921</v>
      </c>
      <c r="R125" s="138">
        <f>Q125*H125</f>
        <v>8.92086783</v>
      </c>
      <c r="S125" s="138">
        <v>0</v>
      </c>
      <c r="T125" s="139">
        <f>S125*H125</f>
        <v>0</v>
      </c>
      <c r="AR125" s="140" t="s">
        <v>185</v>
      </c>
      <c r="AT125" s="140" t="s">
        <v>180</v>
      </c>
      <c r="AU125" s="140" t="s">
        <v>87</v>
      </c>
      <c r="AY125" s="18" t="s">
        <v>177</v>
      </c>
      <c r="BE125" s="141">
        <f>IF(N125="základní",J125,0)</f>
        <v>0</v>
      </c>
      <c r="BF125" s="141">
        <f>IF(N125="snížená",J125,0)</f>
        <v>0</v>
      </c>
      <c r="BG125" s="141">
        <f>IF(N125="zákl. přenesená",J125,0)</f>
        <v>0</v>
      </c>
      <c r="BH125" s="141">
        <f>IF(N125="sníž. přenesená",J125,0)</f>
        <v>0</v>
      </c>
      <c r="BI125" s="141">
        <f>IF(N125="nulová",J125,0)</f>
        <v>0</v>
      </c>
      <c r="BJ125" s="18" t="s">
        <v>85</v>
      </c>
      <c r="BK125" s="141">
        <f>ROUND(I125*H125,2)</f>
        <v>0</v>
      </c>
      <c r="BL125" s="18" t="s">
        <v>185</v>
      </c>
      <c r="BM125" s="140" t="s">
        <v>1904</v>
      </c>
    </row>
    <row r="126" spans="2:47" s="1" customFormat="1" ht="19.5">
      <c r="B126" s="33"/>
      <c r="D126" s="142" t="s">
        <v>187</v>
      </c>
      <c r="F126" s="143" t="s">
        <v>1736</v>
      </c>
      <c r="I126" s="144"/>
      <c r="L126" s="33"/>
      <c r="M126" s="145"/>
      <c r="T126" s="54"/>
      <c r="AT126" s="18" t="s">
        <v>187</v>
      </c>
      <c r="AU126" s="18" t="s">
        <v>87</v>
      </c>
    </row>
    <row r="127" spans="2:47" s="1" customFormat="1" ht="11.25">
      <c r="B127" s="33"/>
      <c r="D127" s="146" t="s">
        <v>189</v>
      </c>
      <c r="F127" s="147" t="s">
        <v>1737</v>
      </c>
      <c r="I127" s="144"/>
      <c r="L127" s="33"/>
      <c r="M127" s="145"/>
      <c r="T127" s="54"/>
      <c r="AT127" s="18" t="s">
        <v>189</v>
      </c>
      <c r="AU127" s="18" t="s">
        <v>87</v>
      </c>
    </row>
    <row r="128" spans="2:51" s="12" customFormat="1" ht="11.25">
      <c r="B128" s="149"/>
      <c r="D128" s="142" t="s">
        <v>193</v>
      </c>
      <c r="E128" s="150" t="s">
        <v>3</v>
      </c>
      <c r="F128" s="151" t="s">
        <v>1905</v>
      </c>
      <c r="H128" s="152">
        <v>107.006</v>
      </c>
      <c r="I128" s="153"/>
      <c r="L128" s="149"/>
      <c r="M128" s="154"/>
      <c r="T128" s="155"/>
      <c r="AT128" s="150" t="s">
        <v>193</v>
      </c>
      <c r="AU128" s="150" t="s">
        <v>87</v>
      </c>
      <c r="AV128" s="12" t="s">
        <v>87</v>
      </c>
      <c r="AW128" s="12" t="s">
        <v>36</v>
      </c>
      <c r="AX128" s="12" t="s">
        <v>77</v>
      </c>
      <c r="AY128" s="150" t="s">
        <v>177</v>
      </c>
    </row>
    <row r="129" spans="2:51" s="12" customFormat="1" ht="11.25">
      <c r="B129" s="149"/>
      <c r="D129" s="142" t="s">
        <v>193</v>
      </c>
      <c r="E129" s="150" t="s">
        <v>3</v>
      </c>
      <c r="F129" s="151" t="s">
        <v>1906</v>
      </c>
      <c r="H129" s="152">
        <v>-3.546</v>
      </c>
      <c r="I129" s="153"/>
      <c r="L129" s="149"/>
      <c r="M129" s="154"/>
      <c r="T129" s="155"/>
      <c r="AT129" s="150" t="s">
        <v>193</v>
      </c>
      <c r="AU129" s="150" t="s">
        <v>87</v>
      </c>
      <c r="AV129" s="12" t="s">
        <v>87</v>
      </c>
      <c r="AW129" s="12" t="s">
        <v>36</v>
      </c>
      <c r="AX129" s="12" t="s">
        <v>77</v>
      </c>
      <c r="AY129" s="150" t="s">
        <v>177</v>
      </c>
    </row>
    <row r="130" spans="2:51" s="12" customFormat="1" ht="11.25">
      <c r="B130" s="149"/>
      <c r="D130" s="142" t="s">
        <v>193</v>
      </c>
      <c r="E130" s="150" t="s">
        <v>3</v>
      </c>
      <c r="F130" s="151" t="s">
        <v>1907</v>
      </c>
      <c r="H130" s="152">
        <v>-4.137</v>
      </c>
      <c r="I130" s="153"/>
      <c r="L130" s="149"/>
      <c r="M130" s="154"/>
      <c r="T130" s="155"/>
      <c r="AT130" s="150" t="s">
        <v>193</v>
      </c>
      <c r="AU130" s="150" t="s">
        <v>87</v>
      </c>
      <c r="AV130" s="12" t="s">
        <v>87</v>
      </c>
      <c r="AW130" s="12" t="s">
        <v>36</v>
      </c>
      <c r="AX130" s="12" t="s">
        <v>77</v>
      </c>
      <c r="AY130" s="150" t="s">
        <v>177</v>
      </c>
    </row>
    <row r="131" spans="2:51" s="14" customFormat="1" ht="11.25">
      <c r="B131" s="162"/>
      <c r="D131" s="142" t="s">
        <v>193</v>
      </c>
      <c r="E131" s="163" t="s">
        <v>3</v>
      </c>
      <c r="F131" s="164" t="s">
        <v>197</v>
      </c>
      <c r="H131" s="165">
        <v>99.323</v>
      </c>
      <c r="I131" s="166"/>
      <c r="L131" s="162"/>
      <c r="M131" s="167"/>
      <c r="T131" s="168"/>
      <c r="AT131" s="163" t="s">
        <v>193</v>
      </c>
      <c r="AU131" s="163" t="s">
        <v>87</v>
      </c>
      <c r="AV131" s="14" t="s">
        <v>198</v>
      </c>
      <c r="AW131" s="14" t="s">
        <v>36</v>
      </c>
      <c r="AX131" s="14" t="s">
        <v>77</v>
      </c>
      <c r="AY131" s="163" t="s">
        <v>177</v>
      </c>
    </row>
    <row r="132" spans="2:51" s="13" customFormat="1" ht="11.25">
      <c r="B132" s="156"/>
      <c r="D132" s="142" t="s">
        <v>193</v>
      </c>
      <c r="E132" s="157" t="s">
        <v>3</v>
      </c>
      <c r="F132" s="158" t="s">
        <v>1908</v>
      </c>
      <c r="H132" s="157" t="s">
        <v>3</v>
      </c>
      <c r="I132" s="159"/>
      <c r="L132" s="156"/>
      <c r="M132" s="160"/>
      <c r="T132" s="161"/>
      <c r="AT132" s="157" t="s">
        <v>193</v>
      </c>
      <c r="AU132" s="157" t="s">
        <v>87</v>
      </c>
      <c r="AV132" s="13" t="s">
        <v>85</v>
      </c>
      <c r="AW132" s="13" t="s">
        <v>36</v>
      </c>
      <c r="AX132" s="13" t="s">
        <v>77</v>
      </c>
      <c r="AY132" s="157" t="s">
        <v>177</v>
      </c>
    </row>
    <row r="133" spans="2:51" s="12" customFormat="1" ht="11.25">
      <c r="B133" s="149"/>
      <c r="D133" s="142" t="s">
        <v>193</v>
      </c>
      <c r="E133" s="150" t="s">
        <v>3</v>
      </c>
      <c r="F133" s="151" t="s">
        <v>1909</v>
      </c>
      <c r="H133" s="152">
        <v>13.3</v>
      </c>
      <c r="I133" s="153"/>
      <c r="L133" s="149"/>
      <c r="M133" s="154"/>
      <c r="T133" s="155"/>
      <c r="AT133" s="150" t="s">
        <v>193</v>
      </c>
      <c r="AU133" s="150" t="s">
        <v>87</v>
      </c>
      <c r="AV133" s="12" t="s">
        <v>87</v>
      </c>
      <c r="AW133" s="12" t="s">
        <v>36</v>
      </c>
      <c r="AX133" s="12" t="s">
        <v>77</v>
      </c>
      <c r="AY133" s="150" t="s">
        <v>177</v>
      </c>
    </row>
    <row r="134" spans="2:51" s="15" customFormat="1" ht="11.25">
      <c r="B134" s="169"/>
      <c r="D134" s="142" t="s">
        <v>193</v>
      </c>
      <c r="E134" s="170" t="s">
        <v>3</v>
      </c>
      <c r="F134" s="171" t="s">
        <v>201</v>
      </c>
      <c r="H134" s="172">
        <v>112.623</v>
      </c>
      <c r="I134" s="173"/>
      <c r="L134" s="169"/>
      <c r="M134" s="174"/>
      <c r="T134" s="175"/>
      <c r="AT134" s="170" t="s">
        <v>193</v>
      </c>
      <c r="AU134" s="170" t="s">
        <v>87</v>
      </c>
      <c r="AV134" s="15" t="s">
        <v>185</v>
      </c>
      <c r="AW134" s="15" t="s">
        <v>36</v>
      </c>
      <c r="AX134" s="15" t="s">
        <v>85</v>
      </c>
      <c r="AY134" s="170" t="s">
        <v>177</v>
      </c>
    </row>
    <row r="135" spans="2:65" s="1" customFormat="1" ht="24.2" customHeight="1">
      <c r="B135" s="128"/>
      <c r="C135" s="129" t="s">
        <v>248</v>
      </c>
      <c r="D135" s="129" t="s">
        <v>180</v>
      </c>
      <c r="E135" s="130" t="s">
        <v>605</v>
      </c>
      <c r="F135" s="131" t="s">
        <v>606</v>
      </c>
      <c r="G135" s="132" t="s">
        <v>476</v>
      </c>
      <c r="H135" s="133">
        <v>23.7</v>
      </c>
      <c r="I135" s="134"/>
      <c r="J135" s="135">
        <f>ROUND(I135*H135,2)</f>
        <v>0</v>
      </c>
      <c r="K135" s="131" t="s">
        <v>244</v>
      </c>
      <c r="L135" s="33"/>
      <c r="M135" s="136" t="s">
        <v>3</v>
      </c>
      <c r="N135" s="137" t="s">
        <v>48</v>
      </c>
      <c r="P135" s="138">
        <f>O135*H135</f>
        <v>0</v>
      </c>
      <c r="Q135" s="138">
        <v>0.00013</v>
      </c>
      <c r="R135" s="138">
        <f>Q135*H135</f>
        <v>0.0030809999999999995</v>
      </c>
      <c r="S135" s="138">
        <v>0</v>
      </c>
      <c r="T135" s="139">
        <f>S135*H135</f>
        <v>0</v>
      </c>
      <c r="AR135" s="140" t="s">
        <v>185</v>
      </c>
      <c r="AT135" s="140" t="s">
        <v>180</v>
      </c>
      <c r="AU135" s="140" t="s">
        <v>87</v>
      </c>
      <c r="AY135" s="18" t="s">
        <v>177</v>
      </c>
      <c r="BE135" s="141">
        <f>IF(N135="základní",J135,0)</f>
        <v>0</v>
      </c>
      <c r="BF135" s="141">
        <f>IF(N135="snížená",J135,0)</f>
        <v>0</v>
      </c>
      <c r="BG135" s="141">
        <f>IF(N135="zákl. přenesená",J135,0)</f>
        <v>0</v>
      </c>
      <c r="BH135" s="141">
        <f>IF(N135="sníž. přenesená",J135,0)</f>
        <v>0</v>
      </c>
      <c r="BI135" s="141">
        <f>IF(N135="nulová",J135,0)</f>
        <v>0</v>
      </c>
      <c r="BJ135" s="18" t="s">
        <v>85</v>
      </c>
      <c r="BK135" s="141">
        <f>ROUND(I135*H135,2)</f>
        <v>0</v>
      </c>
      <c r="BL135" s="18" t="s">
        <v>185</v>
      </c>
      <c r="BM135" s="140" t="s">
        <v>1910</v>
      </c>
    </row>
    <row r="136" spans="2:47" s="1" customFormat="1" ht="11.25">
      <c r="B136" s="33"/>
      <c r="D136" s="142" t="s">
        <v>187</v>
      </c>
      <c r="F136" s="143" t="s">
        <v>1911</v>
      </c>
      <c r="I136" s="144"/>
      <c r="L136" s="33"/>
      <c r="M136" s="145"/>
      <c r="T136" s="54"/>
      <c r="AT136" s="18" t="s">
        <v>187</v>
      </c>
      <c r="AU136" s="18" t="s">
        <v>87</v>
      </c>
    </row>
    <row r="137" spans="2:47" s="1" customFormat="1" ht="78">
      <c r="B137" s="33"/>
      <c r="D137" s="142" t="s">
        <v>191</v>
      </c>
      <c r="F137" s="148" t="s">
        <v>603</v>
      </c>
      <c r="I137" s="144"/>
      <c r="L137" s="33"/>
      <c r="M137" s="145"/>
      <c r="T137" s="54"/>
      <c r="AT137" s="18" t="s">
        <v>191</v>
      </c>
      <c r="AU137" s="18" t="s">
        <v>87</v>
      </c>
    </row>
    <row r="138" spans="2:51" s="12" customFormat="1" ht="11.25">
      <c r="B138" s="149"/>
      <c r="D138" s="142" t="s">
        <v>193</v>
      </c>
      <c r="E138" s="150" t="s">
        <v>3</v>
      </c>
      <c r="F138" s="151" t="s">
        <v>1912</v>
      </c>
      <c r="H138" s="152">
        <v>23.7</v>
      </c>
      <c r="I138" s="153"/>
      <c r="L138" s="149"/>
      <c r="M138" s="154"/>
      <c r="T138" s="155"/>
      <c r="AT138" s="150" t="s">
        <v>193</v>
      </c>
      <c r="AU138" s="150" t="s">
        <v>87</v>
      </c>
      <c r="AV138" s="12" t="s">
        <v>87</v>
      </c>
      <c r="AW138" s="12" t="s">
        <v>36</v>
      </c>
      <c r="AX138" s="12" t="s">
        <v>85</v>
      </c>
      <c r="AY138" s="150" t="s">
        <v>177</v>
      </c>
    </row>
    <row r="139" spans="2:65" s="1" customFormat="1" ht="24.2" customHeight="1">
      <c r="B139" s="128"/>
      <c r="C139" s="129" t="s">
        <v>252</v>
      </c>
      <c r="D139" s="129" t="s">
        <v>180</v>
      </c>
      <c r="E139" s="130" t="s">
        <v>612</v>
      </c>
      <c r="F139" s="131" t="s">
        <v>1913</v>
      </c>
      <c r="G139" s="132" t="s">
        <v>476</v>
      </c>
      <c r="H139" s="133">
        <v>86.9</v>
      </c>
      <c r="I139" s="134"/>
      <c r="J139" s="135">
        <f>ROUND(I139*H139,2)</f>
        <v>0</v>
      </c>
      <c r="K139" s="131" t="s">
        <v>244</v>
      </c>
      <c r="L139" s="33"/>
      <c r="M139" s="136" t="s">
        <v>3</v>
      </c>
      <c r="N139" s="137" t="s">
        <v>48</v>
      </c>
      <c r="P139" s="138">
        <f>O139*H139</f>
        <v>0</v>
      </c>
      <c r="Q139" s="138">
        <v>0.0002</v>
      </c>
      <c r="R139" s="138">
        <f>Q139*H139</f>
        <v>0.017380000000000003</v>
      </c>
      <c r="S139" s="138">
        <v>0</v>
      </c>
      <c r="T139" s="139">
        <f>S139*H139</f>
        <v>0</v>
      </c>
      <c r="AR139" s="140" t="s">
        <v>185</v>
      </c>
      <c r="AT139" s="140" t="s">
        <v>180</v>
      </c>
      <c r="AU139" s="140" t="s">
        <v>87</v>
      </c>
      <c r="AY139" s="18" t="s">
        <v>177</v>
      </c>
      <c r="BE139" s="141">
        <f>IF(N139="základní",J139,0)</f>
        <v>0</v>
      </c>
      <c r="BF139" s="141">
        <f>IF(N139="snížená",J139,0)</f>
        <v>0</v>
      </c>
      <c r="BG139" s="141">
        <f>IF(N139="zákl. přenesená",J139,0)</f>
        <v>0</v>
      </c>
      <c r="BH139" s="141">
        <f>IF(N139="sníž. přenesená",J139,0)</f>
        <v>0</v>
      </c>
      <c r="BI139" s="141">
        <f>IF(N139="nulová",J139,0)</f>
        <v>0</v>
      </c>
      <c r="BJ139" s="18" t="s">
        <v>85</v>
      </c>
      <c r="BK139" s="141">
        <f>ROUND(I139*H139,2)</f>
        <v>0</v>
      </c>
      <c r="BL139" s="18" t="s">
        <v>185</v>
      </c>
      <c r="BM139" s="140" t="s">
        <v>1914</v>
      </c>
    </row>
    <row r="140" spans="2:47" s="1" customFormat="1" ht="11.25">
      <c r="B140" s="33"/>
      <c r="D140" s="142" t="s">
        <v>187</v>
      </c>
      <c r="F140" s="143" t="s">
        <v>1915</v>
      </c>
      <c r="I140" s="144"/>
      <c r="L140" s="33"/>
      <c r="M140" s="145"/>
      <c r="T140" s="54"/>
      <c r="AT140" s="18" t="s">
        <v>187</v>
      </c>
      <c r="AU140" s="18" t="s">
        <v>87</v>
      </c>
    </row>
    <row r="141" spans="2:47" s="1" customFormat="1" ht="78">
      <c r="B141" s="33"/>
      <c r="D141" s="142" t="s">
        <v>191</v>
      </c>
      <c r="F141" s="148" t="s">
        <v>603</v>
      </c>
      <c r="I141" s="144"/>
      <c r="L141" s="33"/>
      <c r="M141" s="145"/>
      <c r="T141" s="54"/>
      <c r="AT141" s="18" t="s">
        <v>191</v>
      </c>
      <c r="AU141" s="18" t="s">
        <v>87</v>
      </c>
    </row>
    <row r="142" spans="2:51" s="12" customFormat="1" ht="11.25">
      <c r="B142" s="149"/>
      <c r="D142" s="142" t="s">
        <v>193</v>
      </c>
      <c r="E142" s="150" t="s">
        <v>3</v>
      </c>
      <c r="F142" s="151" t="s">
        <v>1916</v>
      </c>
      <c r="H142" s="152">
        <v>39.5</v>
      </c>
      <c r="I142" s="153"/>
      <c r="L142" s="149"/>
      <c r="M142" s="154"/>
      <c r="T142" s="155"/>
      <c r="AT142" s="150" t="s">
        <v>193</v>
      </c>
      <c r="AU142" s="150" t="s">
        <v>87</v>
      </c>
      <c r="AV142" s="12" t="s">
        <v>87</v>
      </c>
      <c r="AW142" s="12" t="s">
        <v>36</v>
      </c>
      <c r="AX142" s="12" t="s">
        <v>77</v>
      </c>
      <c r="AY142" s="150" t="s">
        <v>177</v>
      </c>
    </row>
    <row r="143" spans="2:51" s="12" customFormat="1" ht="11.25">
      <c r="B143" s="149"/>
      <c r="D143" s="142" t="s">
        <v>193</v>
      </c>
      <c r="E143" s="150" t="s">
        <v>3</v>
      </c>
      <c r="F143" s="151" t="s">
        <v>1917</v>
      </c>
      <c r="H143" s="152">
        <v>47.4</v>
      </c>
      <c r="I143" s="153"/>
      <c r="L143" s="149"/>
      <c r="M143" s="154"/>
      <c r="T143" s="155"/>
      <c r="AT143" s="150" t="s">
        <v>193</v>
      </c>
      <c r="AU143" s="150" t="s">
        <v>87</v>
      </c>
      <c r="AV143" s="12" t="s">
        <v>87</v>
      </c>
      <c r="AW143" s="12" t="s">
        <v>36</v>
      </c>
      <c r="AX143" s="12" t="s">
        <v>77</v>
      </c>
      <c r="AY143" s="150" t="s">
        <v>177</v>
      </c>
    </row>
    <row r="144" spans="2:51" s="15" customFormat="1" ht="11.25">
      <c r="B144" s="169"/>
      <c r="D144" s="142" t="s">
        <v>193</v>
      </c>
      <c r="E144" s="170" t="s">
        <v>3</v>
      </c>
      <c r="F144" s="171" t="s">
        <v>201</v>
      </c>
      <c r="H144" s="172">
        <v>86.9</v>
      </c>
      <c r="I144" s="173"/>
      <c r="L144" s="169"/>
      <c r="M144" s="174"/>
      <c r="T144" s="175"/>
      <c r="AT144" s="170" t="s">
        <v>193</v>
      </c>
      <c r="AU144" s="170" t="s">
        <v>87</v>
      </c>
      <c r="AV144" s="15" t="s">
        <v>185</v>
      </c>
      <c r="AW144" s="15" t="s">
        <v>36</v>
      </c>
      <c r="AX144" s="15" t="s">
        <v>85</v>
      </c>
      <c r="AY144" s="170" t="s">
        <v>177</v>
      </c>
    </row>
    <row r="145" spans="2:63" s="11" customFormat="1" ht="22.9" customHeight="1">
      <c r="B145" s="116"/>
      <c r="D145" s="117" t="s">
        <v>76</v>
      </c>
      <c r="E145" s="126" t="s">
        <v>185</v>
      </c>
      <c r="F145" s="126" t="s">
        <v>1575</v>
      </c>
      <c r="I145" s="119"/>
      <c r="J145" s="127">
        <f>BK145</f>
        <v>0</v>
      </c>
      <c r="L145" s="116"/>
      <c r="M145" s="121"/>
      <c r="P145" s="122">
        <f>P146+SUM(P147:P185)</f>
        <v>0</v>
      </c>
      <c r="R145" s="122">
        <f>R146+SUM(R147:R185)</f>
        <v>14.0292695155557</v>
      </c>
      <c r="T145" s="123">
        <f>T146+SUM(T147:T185)</f>
        <v>0</v>
      </c>
      <c r="AR145" s="117" t="s">
        <v>85</v>
      </c>
      <c r="AT145" s="124" t="s">
        <v>76</v>
      </c>
      <c r="AU145" s="124" t="s">
        <v>85</v>
      </c>
      <c r="AY145" s="117" t="s">
        <v>177</v>
      </c>
      <c r="BK145" s="125">
        <f>BK146+SUM(BK147:BK185)</f>
        <v>0</v>
      </c>
    </row>
    <row r="146" spans="2:65" s="1" customFormat="1" ht="16.5" customHeight="1">
      <c r="B146" s="128"/>
      <c r="C146" s="129" t="s">
        <v>258</v>
      </c>
      <c r="D146" s="129" t="s">
        <v>180</v>
      </c>
      <c r="E146" s="130" t="s">
        <v>1918</v>
      </c>
      <c r="F146" s="131" t="s">
        <v>1919</v>
      </c>
      <c r="G146" s="132" t="s">
        <v>806</v>
      </c>
      <c r="H146" s="133">
        <v>1.674</v>
      </c>
      <c r="I146" s="134"/>
      <c r="J146" s="135">
        <f>ROUND(I146*H146,2)</f>
        <v>0</v>
      </c>
      <c r="K146" s="131" t="s">
        <v>184</v>
      </c>
      <c r="L146" s="33"/>
      <c r="M146" s="136" t="s">
        <v>3</v>
      </c>
      <c r="N146" s="137" t="s">
        <v>48</v>
      </c>
      <c r="P146" s="138">
        <f>O146*H146</f>
        <v>0</v>
      </c>
      <c r="Q146" s="138">
        <v>2.50201</v>
      </c>
      <c r="R146" s="138">
        <f>Q146*H146</f>
        <v>4.18836474</v>
      </c>
      <c r="S146" s="138">
        <v>0</v>
      </c>
      <c r="T146" s="139">
        <f>S146*H146</f>
        <v>0</v>
      </c>
      <c r="AR146" s="140" t="s">
        <v>185</v>
      </c>
      <c r="AT146" s="140" t="s">
        <v>180</v>
      </c>
      <c r="AU146" s="140" t="s">
        <v>87</v>
      </c>
      <c r="AY146" s="18" t="s">
        <v>177</v>
      </c>
      <c r="BE146" s="141">
        <f>IF(N146="základní",J146,0)</f>
        <v>0</v>
      </c>
      <c r="BF146" s="141">
        <f>IF(N146="snížená",J146,0)</f>
        <v>0</v>
      </c>
      <c r="BG146" s="141">
        <f>IF(N146="zákl. přenesená",J146,0)</f>
        <v>0</v>
      </c>
      <c r="BH146" s="141">
        <f>IF(N146="sníž. přenesená",J146,0)</f>
        <v>0</v>
      </c>
      <c r="BI146" s="141">
        <f>IF(N146="nulová",J146,0)</f>
        <v>0</v>
      </c>
      <c r="BJ146" s="18" t="s">
        <v>85</v>
      </c>
      <c r="BK146" s="141">
        <f>ROUND(I146*H146,2)</f>
        <v>0</v>
      </c>
      <c r="BL146" s="18" t="s">
        <v>185</v>
      </c>
      <c r="BM146" s="140" t="s">
        <v>1920</v>
      </c>
    </row>
    <row r="147" spans="2:47" s="1" customFormat="1" ht="29.25">
      <c r="B147" s="33"/>
      <c r="D147" s="142" t="s">
        <v>187</v>
      </c>
      <c r="F147" s="143" t="s">
        <v>1921</v>
      </c>
      <c r="I147" s="144"/>
      <c r="L147" s="33"/>
      <c r="M147" s="145"/>
      <c r="T147" s="54"/>
      <c r="AT147" s="18" t="s">
        <v>187</v>
      </c>
      <c r="AU147" s="18" t="s">
        <v>87</v>
      </c>
    </row>
    <row r="148" spans="2:47" s="1" customFormat="1" ht="11.25">
      <c r="B148" s="33"/>
      <c r="D148" s="146" t="s">
        <v>189</v>
      </c>
      <c r="F148" s="147" t="s">
        <v>1922</v>
      </c>
      <c r="I148" s="144"/>
      <c r="L148" s="33"/>
      <c r="M148" s="145"/>
      <c r="T148" s="54"/>
      <c r="AT148" s="18" t="s">
        <v>189</v>
      </c>
      <c r="AU148" s="18" t="s">
        <v>87</v>
      </c>
    </row>
    <row r="149" spans="2:47" s="1" customFormat="1" ht="48.75">
      <c r="B149" s="33"/>
      <c r="D149" s="142" t="s">
        <v>191</v>
      </c>
      <c r="F149" s="148" t="s">
        <v>1923</v>
      </c>
      <c r="I149" s="144"/>
      <c r="L149" s="33"/>
      <c r="M149" s="145"/>
      <c r="T149" s="54"/>
      <c r="AT149" s="18" t="s">
        <v>191</v>
      </c>
      <c r="AU149" s="18" t="s">
        <v>87</v>
      </c>
    </row>
    <row r="150" spans="2:51" s="13" customFormat="1" ht="11.25">
      <c r="B150" s="156"/>
      <c r="D150" s="142" t="s">
        <v>193</v>
      </c>
      <c r="E150" s="157" t="s">
        <v>3</v>
      </c>
      <c r="F150" s="158" t="s">
        <v>1924</v>
      </c>
      <c r="H150" s="157" t="s">
        <v>3</v>
      </c>
      <c r="I150" s="159"/>
      <c r="L150" s="156"/>
      <c r="M150" s="160"/>
      <c r="T150" s="161"/>
      <c r="AT150" s="157" t="s">
        <v>193</v>
      </c>
      <c r="AU150" s="157" t="s">
        <v>87</v>
      </c>
      <c r="AV150" s="13" t="s">
        <v>85</v>
      </c>
      <c r="AW150" s="13" t="s">
        <v>36</v>
      </c>
      <c r="AX150" s="13" t="s">
        <v>77</v>
      </c>
      <c r="AY150" s="157" t="s">
        <v>177</v>
      </c>
    </row>
    <row r="151" spans="2:51" s="12" customFormat="1" ht="11.25">
      <c r="B151" s="149"/>
      <c r="D151" s="142" t="s">
        <v>193</v>
      </c>
      <c r="E151" s="150" t="s">
        <v>3</v>
      </c>
      <c r="F151" s="151" t="s">
        <v>1925</v>
      </c>
      <c r="H151" s="152">
        <v>1.266</v>
      </c>
      <c r="I151" s="153"/>
      <c r="L151" s="149"/>
      <c r="M151" s="154"/>
      <c r="T151" s="155"/>
      <c r="AT151" s="150" t="s">
        <v>193</v>
      </c>
      <c r="AU151" s="150" t="s">
        <v>87</v>
      </c>
      <c r="AV151" s="12" t="s">
        <v>87</v>
      </c>
      <c r="AW151" s="12" t="s">
        <v>36</v>
      </c>
      <c r="AX151" s="12" t="s">
        <v>77</v>
      </c>
      <c r="AY151" s="150" t="s">
        <v>177</v>
      </c>
    </row>
    <row r="152" spans="2:51" s="13" customFormat="1" ht="11.25">
      <c r="B152" s="156"/>
      <c r="D152" s="142" t="s">
        <v>193</v>
      </c>
      <c r="E152" s="157" t="s">
        <v>3</v>
      </c>
      <c r="F152" s="158" t="s">
        <v>1926</v>
      </c>
      <c r="H152" s="157" t="s">
        <v>3</v>
      </c>
      <c r="I152" s="159"/>
      <c r="L152" s="156"/>
      <c r="M152" s="160"/>
      <c r="T152" s="161"/>
      <c r="AT152" s="157" t="s">
        <v>193</v>
      </c>
      <c r="AU152" s="157" t="s">
        <v>87</v>
      </c>
      <c r="AV152" s="13" t="s">
        <v>85</v>
      </c>
      <c r="AW152" s="13" t="s">
        <v>36</v>
      </c>
      <c r="AX152" s="13" t="s">
        <v>77</v>
      </c>
      <c r="AY152" s="157" t="s">
        <v>177</v>
      </c>
    </row>
    <row r="153" spans="2:51" s="12" customFormat="1" ht="11.25">
      <c r="B153" s="149"/>
      <c r="D153" s="142" t="s">
        <v>193</v>
      </c>
      <c r="E153" s="150" t="s">
        <v>3</v>
      </c>
      <c r="F153" s="151" t="s">
        <v>1927</v>
      </c>
      <c r="H153" s="152">
        <v>0.408</v>
      </c>
      <c r="I153" s="153"/>
      <c r="L153" s="149"/>
      <c r="M153" s="154"/>
      <c r="T153" s="155"/>
      <c r="AT153" s="150" t="s">
        <v>193</v>
      </c>
      <c r="AU153" s="150" t="s">
        <v>87</v>
      </c>
      <c r="AV153" s="12" t="s">
        <v>87</v>
      </c>
      <c r="AW153" s="12" t="s">
        <v>36</v>
      </c>
      <c r="AX153" s="12" t="s">
        <v>77</v>
      </c>
      <c r="AY153" s="150" t="s">
        <v>177</v>
      </c>
    </row>
    <row r="154" spans="2:51" s="15" customFormat="1" ht="11.25">
      <c r="B154" s="169"/>
      <c r="D154" s="142" t="s">
        <v>193</v>
      </c>
      <c r="E154" s="170" t="s">
        <v>3</v>
      </c>
      <c r="F154" s="171" t="s">
        <v>201</v>
      </c>
      <c r="H154" s="172">
        <v>1.674</v>
      </c>
      <c r="I154" s="173"/>
      <c r="L154" s="169"/>
      <c r="M154" s="174"/>
      <c r="T154" s="175"/>
      <c r="AT154" s="170" t="s">
        <v>193</v>
      </c>
      <c r="AU154" s="170" t="s">
        <v>87</v>
      </c>
      <c r="AV154" s="15" t="s">
        <v>185</v>
      </c>
      <c r="AW154" s="15" t="s">
        <v>36</v>
      </c>
      <c r="AX154" s="15" t="s">
        <v>85</v>
      </c>
      <c r="AY154" s="170" t="s">
        <v>177</v>
      </c>
    </row>
    <row r="155" spans="2:65" s="1" customFormat="1" ht="24.2" customHeight="1">
      <c r="B155" s="128"/>
      <c r="C155" s="129" t="s">
        <v>265</v>
      </c>
      <c r="D155" s="129" t="s">
        <v>180</v>
      </c>
      <c r="E155" s="130" t="s">
        <v>1576</v>
      </c>
      <c r="F155" s="131" t="s">
        <v>1577</v>
      </c>
      <c r="G155" s="132" t="s">
        <v>332</v>
      </c>
      <c r="H155" s="133">
        <v>14.525</v>
      </c>
      <c r="I155" s="134"/>
      <c r="J155" s="135">
        <f>ROUND(I155*H155,2)</f>
        <v>0</v>
      </c>
      <c r="K155" s="131" t="s">
        <v>184</v>
      </c>
      <c r="L155" s="33"/>
      <c r="M155" s="136" t="s">
        <v>3</v>
      </c>
      <c r="N155" s="137" t="s">
        <v>48</v>
      </c>
      <c r="P155" s="138">
        <f>O155*H155</f>
        <v>0</v>
      </c>
      <c r="Q155" s="138">
        <v>0.0053262</v>
      </c>
      <c r="R155" s="138">
        <f>Q155*H155</f>
        <v>0.077363055</v>
      </c>
      <c r="S155" s="138">
        <v>0</v>
      </c>
      <c r="T155" s="139">
        <f>S155*H155</f>
        <v>0</v>
      </c>
      <c r="AR155" s="140" t="s">
        <v>185</v>
      </c>
      <c r="AT155" s="140" t="s">
        <v>180</v>
      </c>
      <c r="AU155" s="140" t="s">
        <v>87</v>
      </c>
      <c r="AY155" s="18" t="s">
        <v>177</v>
      </c>
      <c r="BE155" s="141">
        <f>IF(N155="základní",J155,0)</f>
        <v>0</v>
      </c>
      <c r="BF155" s="141">
        <f>IF(N155="snížená",J155,0)</f>
        <v>0</v>
      </c>
      <c r="BG155" s="141">
        <f>IF(N155="zákl. přenesená",J155,0)</f>
        <v>0</v>
      </c>
      <c r="BH155" s="141">
        <f>IF(N155="sníž. přenesená",J155,0)</f>
        <v>0</v>
      </c>
      <c r="BI155" s="141">
        <f>IF(N155="nulová",J155,0)</f>
        <v>0</v>
      </c>
      <c r="BJ155" s="18" t="s">
        <v>85</v>
      </c>
      <c r="BK155" s="141">
        <f>ROUND(I155*H155,2)</f>
        <v>0</v>
      </c>
      <c r="BL155" s="18" t="s">
        <v>185</v>
      </c>
      <c r="BM155" s="140" t="s">
        <v>1928</v>
      </c>
    </row>
    <row r="156" spans="2:47" s="1" customFormat="1" ht="19.5">
      <c r="B156" s="33"/>
      <c r="D156" s="142" t="s">
        <v>187</v>
      </c>
      <c r="F156" s="143" t="s">
        <v>1579</v>
      </c>
      <c r="I156" s="144"/>
      <c r="L156" s="33"/>
      <c r="M156" s="145"/>
      <c r="T156" s="54"/>
      <c r="AT156" s="18" t="s">
        <v>187</v>
      </c>
      <c r="AU156" s="18" t="s">
        <v>87</v>
      </c>
    </row>
    <row r="157" spans="2:47" s="1" customFormat="1" ht="11.25">
      <c r="B157" s="33"/>
      <c r="D157" s="146" t="s">
        <v>189</v>
      </c>
      <c r="F157" s="147" t="s">
        <v>1580</v>
      </c>
      <c r="I157" s="144"/>
      <c r="L157" s="33"/>
      <c r="M157" s="145"/>
      <c r="T157" s="54"/>
      <c r="AT157" s="18" t="s">
        <v>189</v>
      </c>
      <c r="AU157" s="18" t="s">
        <v>87</v>
      </c>
    </row>
    <row r="158" spans="2:47" s="1" customFormat="1" ht="243.75">
      <c r="B158" s="33"/>
      <c r="D158" s="142" t="s">
        <v>191</v>
      </c>
      <c r="F158" s="148" t="s">
        <v>1581</v>
      </c>
      <c r="I158" s="144"/>
      <c r="L158" s="33"/>
      <c r="M158" s="145"/>
      <c r="T158" s="54"/>
      <c r="AT158" s="18" t="s">
        <v>191</v>
      </c>
      <c r="AU158" s="18" t="s">
        <v>87</v>
      </c>
    </row>
    <row r="159" spans="2:51" s="12" customFormat="1" ht="11.25">
      <c r="B159" s="149"/>
      <c r="D159" s="142" t="s">
        <v>193</v>
      </c>
      <c r="E159" s="150" t="s">
        <v>3</v>
      </c>
      <c r="F159" s="151" t="s">
        <v>1929</v>
      </c>
      <c r="H159" s="152">
        <v>9.625</v>
      </c>
      <c r="I159" s="153"/>
      <c r="L159" s="149"/>
      <c r="M159" s="154"/>
      <c r="T159" s="155"/>
      <c r="AT159" s="150" t="s">
        <v>193</v>
      </c>
      <c r="AU159" s="150" t="s">
        <v>87</v>
      </c>
      <c r="AV159" s="12" t="s">
        <v>87</v>
      </c>
      <c r="AW159" s="12" t="s">
        <v>36</v>
      </c>
      <c r="AX159" s="12" t="s">
        <v>77</v>
      </c>
      <c r="AY159" s="150" t="s">
        <v>177</v>
      </c>
    </row>
    <row r="160" spans="2:51" s="13" customFormat="1" ht="11.25">
      <c r="B160" s="156"/>
      <c r="D160" s="142" t="s">
        <v>193</v>
      </c>
      <c r="E160" s="157" t="s">
        <v>3</v>
      </c>
      <c r="F160" s="158" t="s">
        <v>1926</v>
      </c>
      <c r="H160" s="157" t="s">
        <v>3</v>
      </c>
      <c r="I160" s="159"/>
      <c r="L160" s="156"/>
      <c r="M160" s="160"/>
      <c r="T160" s="161"/>
      <c r="AT160" s="157" t="s">
        <v>193</v>
      </c>
      <c r="AU160" s="157" t="s">
        <v>87</v>
      </c>
      <c r="AV160" s="13" t="s">
        <v>85</v>
      </c>
      <c r="AW160" s="13" t="s">
        <v>36</v>
      </c>
      <c r="AX160" s="13" t="s">
        <v>77</v>
      </c>
      <c r="AY160" s="157" t="s">
        <v>177</v>
      </c>
    </row>
    <row r="161" spans="2:51" s="12" customFormat="1" ht="11.25">
      <c r="B161" s="149"/>
      <c r="D161" s="142" t="s">
        <v>193</v>
      </c>
      <c r="E161" s="150" t="s">
        <v>3</v>
      </c>
      <c r="F161" s="151" t="s">
        <v>1930</v>
      </c>
      <c r="H161" s="152">
        <v>4.9</v>
      </c>
      <c r="I161" s="153"/>
      <c r="L161" s="149"/>
      <c r="M161" s="154"/>
      <c r="T161" s="155"/>
      <c r="AT161" s="150" t="s">
        <v>193</v>
      </c>
      <c r="AU161" s="150" t="s">
        <v>87</v>
      </c>
      <c r="AV161" s="12" t="s">
        <v>87</v>
      </c>
      <c r="AW161" s="12" t="s">
        <v>36</v>
      </c>
      <c r="AX161" s="12" t="s">
        <v>77</v>
      </c>
      <c r="AY161" s="150" t="s">
        <v>177</v>
      </c>
    </row>
    <row r="162" spans="2:51" s="15" customFormat="1" ht="11.25">
      <c r="B162" s="169"/>
      <c r="D162" s="142" t="s">
        <v>193</v>
      </c>
      <c r="E162" s="170" t="s">
        <v>3</v>
      </c>
      <c r="F162" s="171" t="s">
        <v>201</v>
      </c>
      <c r="H162" s="172">
        <v>14.525</v>
      </c>
      <c r="I162" s="173"/>
      <c r="L162" s="169"/>
      <c r="M162" s="174"/>
      <c r="T162" s="175"/>
      <c r="AT162" s="170" t="s">
        <v>193</v>
      </c>
      <c r="AU162" s="170" t="s">
        <v>87</v>
      </c>
      <c r="AV162" s="15" t="s">
        <v>185</v>
      </c>
      <c r="AW162" s="15" t="s">
        <v>36</v>
      </c>
      <c r="AX162" s="15" t="s">
        <v>85</v>
      </c>
      <c r="AY162" s="170" t="s">
        <v>177</v>
      </c>
    </row>
    <row r="163" spans="2:65" s="1" customFormat="1" ht="24.2" customHeight="1">
      <c r="B163" s="128"/>
      <c r="C163" s="129" t="s">
        <v>271</v>
      </c>
      <c r="D163" s="129" t="s">
        <v>180</v>
      </c>
      <c r="E163" s="130" t="s">
        <v>1583</v>
      </c>
      <c r="F163" s="131" t="s">
        <v>1584</v>
      </c>
      <c r="G163" s="132" t="s">
        <v>332</v>
      </c>
      <c r="H163" s="133">
        <v>14.525</v>
      </c>
      <c r="I163" s="134"/>
      <c r="J163" s="135">
        <f>ROUND(I163*H163,2)</f>
        <v>0</v>
      </c>
      <c r="K163" s="131" t="s">
        <v>184</v>
      </c>
      <c r="L163" s="33"/>
      <c r="M163" s="136" t="s">
        <v>3</v>
      </c>
      <c r="N163" s="137" t="s">
        <v>48</v>
      </c>
      <c r="P163" s="138">
        <f>O163*H163</f>
        <v>0</v>
      </c>
      <c r="Q163" s="138">
        <v>0</v>
      </c>
      <c r="R163" s="138">
        <f>Q163*H163</f>
        <v>0</v>
      </c>
      <c r="S163" s="138">
        <v>0</v>
      </c>
      <c r="T163" s="139">
        <f>S163*H163</f>
        <v>0</v>
      </c>
      <c r="AR163" s="140" t="s">
        <v>185</v>
      </c>
      <c r="AT163" s="140" t="s">
        <v>180</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1931</v>
      </c>
    </row>
    <row r="164" spans="2:47" s="1" customFormat="1" ht="19.5">
      <c r="B164" s="33"/>
      <c r="D164" s="142" t="s">
        <v>187</v>
      </c>
      <c r="F164" s="143" t="s">
        <v>1586</v>
      </c>
      <c r="I164" s="144"/>
      <c r="L164" s="33"/>
      <c r="M164" s="145"/>
      <c r="T164" s="54"/>
      <c r="AT164" s="18" t="s">
        <v>187</v>
      </c>
      <c r="AU164" s="18" t="s">
        <v>87</v>
      </c>
    </row>
    <row r="165" spans="2:47" s="1" customFormat="1" ht="11.25">
      <c r="B165" s="33"/>
      <c r="D165" s="146" t="s">
        <v>189</v>
      </c>
      <c r="F165" s="147" t="s">
        <v>1587</v>
      </c>
      <c r="I165" s="144"/>
      <c r="L165" s="33"/>
      <c r="M165" s="145"/>
      <c r="T165" s="54"/>
      <c r="AT165" s="18" t="s">
        <v>189</v>
      </c>
      <c r="AU165" s="18" t="s">
        <v>87</v>
      </c>
    </row>
    <row r="166" spans="2:47" s="1" customFormat="1" ht="243.75">
      <c r="B166" s="33"/>
      <c r="D166" s="142" t="s">
        <v>191</v>
      </c>
      <c r="F166" s="148" t="s">
        <v>1581</v>
      </c>
      <c r="I166" s="144"/>
      <c r="L166" s="33"/>
      <c r="M166" s="145"/>
      <c r="T166" s="54"/>
      <c r="AT166" s="18" t="s">
        <v>191</v>
      </c>
      <c r="AU166" s="18" t="s">
        <v>87</v>
      </c>
    </row>
    <row r="167" spans="2:65" s="1" customFormat="1" ht="24.2" customHeight="1">
      <c r="B167" s="128"/>
      <c r="C167" s="129" t="s">
        <v>277</v>
      </c>
      <c r="D167" s="129" t="s">
        <v>180</v>
      </c>
      <c r="E167" s="130" t="s">
        <v>1932</v>
      </c>
      <c r="F167" s="131" t="s">
        <v>1933</v>
      </c>
      <c r="G167" s="132" t="s">
        <v>332</v>
      </c>
      <c r="H167" s="133">
        <v>13.705</v>
      </c>
      <c r="I167" s="134"/>
      <c r="J167" s="135">
        <f>ROUND(I167*H167,2)</f>
        <v>0</v>
      </c>
      <c r="K167" s="131" t="s">
        <v>184</v>
      </c>
      <c r="L167" s="33"/>
      <c r="M167" s="136" t="s">
        <v>3</v>
      </c>
      <c r="N167" s="137" t="s">
        <v>48</v>
      </c>
      <c r="P167" s="138">
        <f>O167*H167</f>
        <v>0</v>
      </c>
      <c r="Q167" s="138">
        <v>0.00080556</v>
      </c>
      <c r="R167" s="138">
        <f>Q167*H167</f>
        <v>0.011040199799999999</v>
      </c>
      <c r="S167" s="138">
        <v>0</v>
      </c>
      <c r="T167" s="139">
        <f>S167*H167</f>
        <v>0</v>
      </c>
      <c r="AR167" s="140" t="s">
        <v>185</v>
      </c>
      <c r="AT167" s="140" t="s">
        <v>180</v>
      </c>
      <c r="AU167" s="140" t="s">
        <v>87</v>
      </c>
      <c r="AY167" s="18" t="s">
        <v>177</v>
      </c>
      <c r="BE167" s="141">
        <f>IF(N167="základní",J167,0)</f>
        <v>0</v>
      </c>
      <c r="BF167" s="141">
        <f>IF(N167="snížená",J167,0)</f>
        <v>0</v>
      </c>
      <c r="BG167" s="141">
        <f>IF(N167="zákl. přenesená",J167,0)</f>
        <v>0</v>
      </c>
      <c r="BH167" s="141">
        <f>IF(N167="sníž. přenesená",J167,0)</f>
        <v>0</v>
      </c>
      <c r="BI167" s="141">
        <f>IF(N167="nulová",J167,0)</f>
        <v>0</v>
      </c>
      <c r="BJ167" s="18" t="s">
        <v>85</v>
      </c>
      <c r="BK167" s="141">
        <f>ROUND(I167*H167,2)</f>
        <v>0</v>
      </c>
      <c r="BL167" s="18" t="s">
        <v>185</v>
      </c>
      <c r="BM167" s="140" t="s">
        <v>1934</v>
      </c>
    </row>
    <row r="168" spans="2:47" s="1" customFormat="1" ht="19.5">
      <c r="B168" s="33"/>
      <c r="D168" s="142" t="s">
        <v>187</v>
      </c>
      <c r="F168" s="143" t="s">
        <v>1935</v>
      </c>
      <c r="I168" s="144"/>
      <c r="L168" s="33"/>
      <c r="M168" s="145"/>
      <c r="T168" s="54"/>
      <c r="AT168" s="18" t="s">
        <v>187</v>
      </c>
      <c r="AU168" s="18" t="s">
        <v>87</v>
      </c>
    </row>
    <row r="169" spans="2:47" s="1" customFormat="1" ht="11.25">
      <c r="B169" s="33"/>
      <c r="D169" s="146" t="s">
        <v>189</v>
      </c>
      <c r="F169" s="147" t="s">
        <v>1936</v>
      </c>
      <c r="I169" s="144"/>
      <c r="L169" s="33"/>
      <c r="M169" s="145"/>
      <c r="T169" s="54"/>
      <c r="AT169" s="18" t="s">
        <v>189</v>
      </c>
      <c r="AU169" s="18" t="s">
        <v>87</v>
      </c>
    </row>
    <row r="170" spans="2:47" s="1" customFormat="1" ht="29.25">
      <c r="B170" s="33"/>
      <c r="D170" s="142" t="s">
        <v>191</v>
      </c>
      <c r="F170" s="148" t="s">
        <v>1593</v>
      </c>
      <c r="I170" s="144"/>
      <c r="L170" s="33"/>
      <c r="M170" s="145"/>
      <c r="T170" s="54"/>
      <c r="AT170" s="18" t="s">
        <v>191</v>
      </c>
      <c r="AU170" s="18" t="s">
        <v>87</v>
      </c>
    </row>
    <row r="171" spans="2:51" s="12" customFormat="1" ht="11.25">
      <c r="B171" s="149"/>
      <c r="D171" s="142" t="s">
        <v>193</v>
      </c>
      <c r="E171" s="150" t="s">
        <v>3</v>
      </c>
      <c r="F171" s="151" t="s">
        <v>1937</v>
      </c>
      <c r="H171" s="152">
        <v>9.625</v>
      </c>
      <c r="I171" s="153"/>
      <c r="L171" s="149"/>
      <c r="M171" s="154"/>
      <c r="T171" s="155"/>
      <c r="AT171" s="150" t="s">
        <v>193</v>
      </c>
      <c r="AU171" s="150" t="s">
        <v>87</v>
      </c>
      <c r="AV171" s="12" t="s">
        <v>87</v>
      </c>
      <c r="AW171" s="12" t="s">
        <v>36</v>
      </c>
      <c r="AX171" s="12" t="s">
        <v>77</v>
      </c>
      <c r="AY171" s="150" t="s">
        <v>177</v>
      </c>
    </row>
    <row r="172" spans="2:51" s="12" customFormat="1" ht="11.25">
      <c r="B172" s="149"/>
      <c r="D172" s="142" t="s">
        <v>193</v>
      </c>
      <c r="E172" s="150" t="s">
        <v>3</v>
      </c>
      <c r="F172" s="151" t="s">
        <v>1938</v>
      </c>
      <c r="H172" s="152">
        <v>4.08</v>
      </c>
      <c r="I172" s="153"/>
      <c r="L172" s="149"/>
      <c r="M172" s="154"/>
      <c r="T172" s="155"/>
      <c r="AT172" s="150" t="s">
        <v>193</v>
      </c>
      <c r="AU172" s="150" t="s">
        <v>87</v>
      </c>
      <c r="AV172" s="12" t="s">
        <v>87</v>
      </c>
      <c r="AW172" s="12" t="s">
        <v>36</v>
      </c>
      <c r="AX172" s="12" t="s">
        <v>77</v>
      </c>
      <c r="AY172" s="150" t="s">
        <v>177</v>
      </c>
    </row>
    <row r="173" spans="2:51" s="15" customFormat="1" ht="11.25">
      <c r="B173" s="169"/>
      <c r="D173" s="142" t="s">
        <v>193</v>
      </c>
      <c r="E173" s="170" t="s">
        <v>3</v>
      </c>
      <c r="F173" s="171" t="s">
        <v>201</v>
      </c>
      <c r="H173" s="172">
        <v>13.705</v>
      </c>
      <c r="I173" s="173"/>
      <c r="L173" s="169"/>
      <c r="M173" s="174"/>
      <c r="T173" s="175"/>
      <c r="AT173" s="170" t="s">
        <v>193</v>
      </c>
      <c r="AU173" s="170" t="s">
        <v>87</v>
      </c>
      <c r="AV173" s="15" t="s">
        <v>185</v>
      </c>
      <c r="AW173" s="15" t="s">
        <v>36</v>
      </c>
      <c r="AX173" s="15" t="s">
        <v>85</v>
      </c>
      <c r="AY173" s="170" t="s">
        <v>177</v>
      </c>
    </row>
    <row r="174" spans="2:65" s="1" customFormat="1" ht="24.2" customHeight="1">
      <c r="B174" s="128"/>
      <c r="C174" s="129" t="s">
        <v>283</v>
      </c>
      <c r="D174" s="129" t="s">
        <v>180</v>
      </c>
      <c r="E174" s="130" t="s">
        <v>1939</v>
      </c>
      <c r="F174" s="131" t="s">
        <v>1940</v>
      </c>
      <c r="G174" s="132" t="s">
        <v>332</v>
      </c>
      <c r="H174" s="133">
        <v>13.705</v>
      </c>
      <c r="I174" s="134"/>
      <c r="J174" s="135">
        <f>ROUND(I174*H174,2)</f>
        <v>0</v>
      </c>
      <c r="K174" s="131" t="s">
        <v>184</v>
      </c>
      <c r="L174" s="33"/>
      <c r="M174" s="136" t="s">
        <v>3</v>
      </c>
      <c r="N174" s="137" t="s">
        <v>48</v>
      </c>
      <c r="P174" s="138">
        <f>O174*H174</f>
        <v>0</v>
      </c>
      <c r="Q174" s="138">
        <v>0</v>
      </c>
      <c r="R174" s="138">
        <f>Q174*H174</f>
        <v>0</v>
      </c>
      <c r="S174" s="138">
        <v>0</v>
      </c>
      <c r="T174" s="139">
        <f>S174*H174</f>
        <v>0</v>
      </c>
      <c r="AR174" s="140" t="s">
        <v>185</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1941</v>
      </c>
    </row>
    <row r="175" spans="2:47" s="1" customFormat="1" ht="19.5">
      <c r="B175" s="33"/>
      <c r="D175" s="142" t="s">
        <v>187</v>
      </c>
      <c r="F175" s="143" t="s">
        <v>1942</v>
      </c>
      <c r="I175" s="144"/>
      <c r="L175" s="33"/>
      <c r="M175" s="145"/>
      <c r="T175" s="54"/>
      <c r="AT175" s="18" t="s">
        <v>187</v>
      </c>
      <c r="AU175" s="18" t="s">
        <v>87</v>
      </c>
    </row>
    <row r="176" spans="2:47" s="1" customFormat="1" ht="11.25">
      <c r="B176" s="33"/>
      <c r="D176" s="146" t="s">
        <v>189</v>
      </c>
      <c r="F176" s="147" t="s">
        <v>1943</v>
      </c>
      <c r="I176" s="144"/>
      <c r="L176" s="33"/>
      <c r="M176" s="145"/>
      <c r="T176" s="54"/>
      <c r="AT176" s="18" t="s">
        <v>189</v>
      </c>
      <c r="AU176" s="18" t="s">
        <v>87</v>
      </c>
    </row>
    <row r="177" spans="2:47" s="1" customFormat="1" ht="29.25">
      <c r="B177" s="33"/>
      <c r="D177" s="142" t="s">
        <v>191</v>
      </c>
      <c r="F177" s="148" t="s">
        <v>1593</v>
      </c>
      <c r="I177" s="144"/>
      <c r="L177" s="33"/>
      <c r="M177" s="145"/>
      <c r="T177" s="54"/>
      <c r="AT177" s="18" t="s">
        <v>191</v>
      </c>
      <c r="AU177" s="18" t="s">
        <v>87</v>
      </c>
    </row>
    <row r="178" spans="2:65" s="1" customFormat="1" ht="16.5" customHeight="1">
      <c r="B178" s="128"/>
      <c r="C178" s="129" t="s">
        <v>9</v>
      </c>
      <c r="D178" s="129" t="s">
        <v>180</v>
      </c>
      <c r="E178" s="130" t="s">
        <v>1944</v>
      </c>
      <c r="F178" s="131" t="s">
        <v>1945</v>
      </c>
      <c r="G178" s="132" t="s">
        <v>183</v>
      </c>
      <c r="H178" s="133">
        <v>0.107</v>
      </c>
      <c r="I178" s="134"/>
      <c r="J178" s="135">
        <f>ROUND(I178*H178,2)</f>
        <v>0</v>
      </c>
      <c r="K178" s="131" t="s">
        <v>184</v>
      </c>
      <c r="L178" s="33"/>
      <c r="M178" s="136" t="s">
        <v>3</v>
      </c>
      <c r="N178" s="137" t="s">
        <v>48</v>
      </c>
      <c r="P178" s="138">
        <f>O178*H178</f>
        <v>0</v>
      </c>
      <c r="Q178" s="138">
        <v>1.0627727797</v>
      </c>
      <c r="R178" s="138">
        <f>Q178*H178</f>
        <v>0.11371668742789999</v>
      </c>
      <c r="S178" s="138">
        <v>0</v>
      </c>
      <c r="T178" s="139">
        <f>S178*H178</f>
        <v>0</v>
      </c>
      <c r="AR178" s="140" t="s">
        <v>185</v>
      </c>
      <c r="AT178" s="140" t="s">
        <v>180</v>
      </c>
      <c r="AU178" s="140" t="s">
        <v>87</v>
      </c>
      <c r="AY178" s="18" t="s">
        <v>177</v>
      </c>
      <c r="BE178" s="141">
        <f>IF(N178="základní",J178,0)</f>
        <v>0</v>
      </c>
      <c r="BF178" s="141">
        <f>IF(N178="snížená",J178,0)</f>
        <v>0</v>
      </c>
      <c r="BG178" s="141">
        <f>IF(N178="zákl. přenesená",J178,0)</f>
        <v>0</v>
      </c>
      <c r="BH178" s="141">
        <f>IF(N178="sníž. přenesená",J178,0)</f>
        <v>0</v>
      </c>
      <c r="BI178" s="141">
        <f>IF(N178="nulová",J178,0)</f>
        <v>0</v>
      </c>
      <c r="BJ178" s="18" t="s">
        <v>85</v>
      </c>
      <c r="BK178" s="141">
        <f>ROUND(I178*H178,2)</f>
        <v>0</v>
      </c>
      <c r="BL178" s="18" t="s">
        <v>185</v>
      </c>
      <c r="BM178" s="140" t="s">
        <v>1946</v>
      </c>
    </row>
    <row r="179" spans="2:47" s="1" customFormat="1" ht="48.75">
      <c r="B179" s="33"/>
      <c r="D179" s="142" t="s">
        <v>187</v>
      </c>
      <c r="F179" s="143" t="s">
        <v>1947</v>
      </c>
      <c r="I179" s="144"/>
      <c r="L179" s="33"/>
      <c r="M179" s="145"/>
      <c r="T179" s="54"/>
      <c r="AT179" s="18" t="s">
        <v>187</v>
      </c>
      <c r="AU179" s="18" t="s">
        <v>87</v>
      </c>
    </row>
    <row r="180" spans="2:47" s="1" customFormat="1" ht="11.25">
      <c r="B180" s="33"/>
      <c r="D180" s="146" t="s">
        <v>189</v>
      </c>
      <c r="F180" s="147" t="s">
        <v>1948</v>
      </c>
      <c r="I180" s="144"/>
      <c r="L180" s="33"/>
      <c r="M180" s="145"/>
      <c r="T180" s="54"/>
      <c r="AT180" s="18" t="s">
        <v>189</v>
      </c>
      <c r="AU180" s="18" t="s">
        <v>87</v>
      </c>
    </row>
    <row r="181" spans="2:51" s="12" customFormat="1" ht="11.25">
      <c r="B181" s="149"/>
      <c r="D181" s="142" t="s">
        <v>193</v>
      </c>
      <c r="E181" s="150" t="s">
        <v>3</v>
      </c>
      <c r="F181" s="151" t="s">
        <v>1949</v>
      </c>
      <c r="H181" s="152">
        <v>0.086</v>
      </c>
      <c r="I181" s="153"/>
      <c r="L181" s="149"/>
      <c r="M181" s="154"/>
      <c r="T181" s="155"/>
      <c r="AT181" s="150" t="s">
        <v>193</v>
      </c>
      <c r="AU181" s="150" t="s">
        <v>87</v>
      </c>
      <c r="AV181" s="12" t="s">
        <v>87</v>
      </c>
      <c r="AW181" s="12" t="s">
        <v>36</v>
      </c>
      <c r="AX181" s="12" t="s">
        <v>77</v>
      </c>
      <c r="AY181" s="150" t="s">
        <v>177</v>
      </c>
    </row>
    <row r="182" spans="2:51" s="13" customFormat="1" ht="11.25">
      <c r="B182" s="156"/>
      <c r="D182" s="142" t="s">
        <v>193</v>
      </c>
      <c r="E182" s="157" t="s">
        <v>3</v>
      </c>
      <c r="F182" s="158" t="s">
        <v>1950</v>
      </c>
      <c r="H182" s="157" t="s">
        <v>3</v>
      </c>
      <c r="I182" s="159"/>
      <c r="L182" s="156"/>
      <c r="M182" s="160"/>
      <c r="T182" s="161"/>
      <c r="AT182" s="157" t="s">
        <v>193</v>
      </c>
      <c r="AU182" s="157" t="s">
        <v>87</v>
      </c>
      <c r="AV182" s="13" t="s">
        <v>85</v>
      </c>
      <c r="AW182" s="13" t="s">
        <v>36</v>
      </c>
      <c r="AX182" s="13" t="s">
        <v>77</v>
      </c>
      <c r="AY182" s="157" t="s">
        <v>177</v>
      </c>
    </row>
    <row r="183" spans="2:51" s="12" customFormat="1" ht="11.25">
      <c r="B183" s="149"/>
      <c r="D183" s="142" t="s">
        <v>193</v>
      </c>
      <c r="E183" s="150" t="s">
        <v>3</v>
      </c>
      <c r="F183" s="151" t="s">
        <v>1951</v>
      </c>
      <c r="H183" s="152">
        <v>0.021</v>
      </c>
      <c r="I183" s="153"/>
      <c r="L183" s="149"/>
      <c r="M183" s="154"/>
      <c r="T183" s="155"/>
      <c r="AT183" s="150" t="s">
        <v>193</v>
      </c>
      <c r="AU183" s="150" t="s">
        <v>87</v>
      </c>
      <c r="AV183" s="12" t="s">
        <v>87</v>
      </c>
      <c r="AW183" s="12" t="s">
        <v>36</v>
      </c>
      <c r="AX183" s="12" t="s">
        <v>77</v>
      </c>
      <c r="AY183" s="150" t="s">
        <v>177</v>
      </c>
    </row>
    <row r="184" spans="2:51" s="15" customFormat="1" ht="11.25">
      <c r="B184" s="169"/>
      <c r="D184" s="142" t="s">
        <v>193</v>
      </c>
      <c r="E184" s="170" t="s">
        <v>3</v>
      </c>
      <c r="F184" s="171" t="s">
        <v>201</v>
      </c>
      <c r="H184" s="172">
        <v>0.107</v>
      </c>
      <c r="I184" s="173"/>
      <c r="L184" s="169"/>
      <c r="M184" s="174"/>
      <c r="T184" s="175"/>
      <c r="AT184" s="170" t="s">
        <v>193</v>
      </c>
      <c r="AU184" s="170" t="s">
        <v>87</v>
      </c>
      <c r="AV184" s="15" t="s">
        <v>185</v>
      </c>
      <c r="AW184" s="15" t="s">
        <v>36</v>
      </c>
      <c r="AX184" s="15" t="s">
        <v>85</v>
      </c>
      <c r="AY184" s="170" t="s">
        <v>177</v>
      </c>
    </row>
    <row r="185" spans="2:63" s="11" customFormat="1" ht="20.85" customHeight="1">
      <c r="B185" s="116"/>
      <c r="D185" s="117" t="s">
        <v>76</v>
      </c>
      <c r="E185" s="126" t="s">
        <v>1130</v>
      </c>
      <c r="F185" s="126" t="s">
        <v>1952</v>
      </c>
      <c r="I185" s="119"/>
      <c r="J185" s="127">
        <f>BK185</f>
        <v>0</v>
      </c>
      <c r="L185" s="116"/>
      <c r="M185" s="121"/>
      <c r="P185" s="122">
        <f>SUM(P186:P228)</f>
        <v>0</v>
      </c>
      <c r="R185" s="122">
        <f>SUM(R186:R228)</f>
        <v>9.6387848333278</v>
      </c>
      <c r="T185" s="123">
        <f>SUM(T186:T228)</f>
        <v>0</v>
      </c>
      <c r="AR185" s="117" t="s">
        <v>85</v>
      </c>
      <c r="AT185" s="124" t="s">
        <v>76</v>
      </c>
      <c r="AU185" s="124" t="s">
        <v>87</v>
      </c>
      <c r="AY185" s="117" t="s">
        <v>177</v>
      </c>
      <c r="BK185" s="125">
        <f>SUM(BK186:BK228)</f>
        <v>0</v>
      </c>
    </row>
    <row r="186" spans="2:65" s="1" customFormat="1" ht="21.75" customHeight="1">
      <c r="B186" s="128"/>
      <c r="C186" s="129" t="s">
        <v>237</v>
      </c>
      <c r="D186" s="129" t="s">
        <v>180</v>
      </c>
      <c r="E186" s="130" t="s">
        <v>1953</v>
      </c>
      <c r="F186" s="131" t="s">
        <v>1954</v>
      </c>
      <c r="G186" s="132" t="s">
        <v>806</v>
      </c>
      <c r="H186" s="133">
        <v>3.605</v>
      </c>
      <c r="I186" s="134"/>
      <c r="J186" s="135">
        <f>ROUND(I186*H186,2)</f>
        <v>0</v>
      </c>
      <c r="K186" s="131" t="s">
        <v>184</v>
      </c>
      <c r="L186" s="33"/>
      <c r="M186" s="136" t="s">
        <v>3</v>
      </c>
      <c r="N186" s="137" t="s">
        <v>48</v>
      </c>
      <c r="P186" s="138">
        <f>O186*H186</f>
        <v>0</v>
      </c>
      <c r="Q186" s="138">
        <v>2.50194574</v>
      </c>
      <c r="R186" s="138">
        <f>Q186*H186</f>
        <v>9.0195143927</v>
      </c>
      <c r="S186" s="138">
        <v>0</v>
      </c>
      <c r="T186" s="139">
        <f>S186*H186</f>
        <v>0</v>
      </c>
      <c r="AR186" s="140" t="s">
        <v>185</v>
      </c>
      <c r="AT186" s="140" t="s">
        <v>180</v>
      </c>
      <c r="AU186" s="140" t="s">
        <v>198</v>
      </c>
      <c r="AY186" s="18" t="s">
        <v>177</v>
      </c>
      <c r="BE186" s="141">
        <f>IF(N186="základní",J186,0)</f>
        <v>0</v>
      </c>
      <c r="BF186" s="141">
        <f>IF(N186="snížená",J186,0)</f>
        <v>0</v>
      </c>
      <c r="BG186" s="141">
        <f>IF(N186="zákl. přenesená",J186,0)</f>
        <v>0</v>
      </c>
      <c r="BH186" s="141">
        <f>IF(N186="sníž. přenesená",J186,0)</f>
        <v>0</v>
      </c>
      <c r="BI186" s="141">
        <f>IF(N186="nulová",J186,0)</f>
        <v>0</v>
      </c>
      <c r="BJ186" s="18" t="s">
        <v>85</v>
      </c>
      <c r="BK186" s="141">
        <f>ROUND(I186*H186,2)</f>
        <v>0</v>
      </c>
      <c r="BL186" s="18" t="s">
        <v>185</v>
      </c>
      <c r="BM186" s="140" t="s">
        <v>1955</v>
      </c>
    </row>
    <row r="187" spans="2:47" s="1" customFormat="1" ht="19.5">
      <c r="B187" s="33"/>
      <c r="D187" s="142" t="s">
        <v>187</v>
      </c>
      <c r="F187" s="143" t="s">
        <v>1956</v>
      </c>
      <c r="I187" s="144"/>
      <c r="L187" s="33"/>
      <c r="M187" s="145"/>
      <c r="T187" s="54"/>
      <c r="AT187" s="18" t="s">
        <v>187</v>
      </c>
      <c r="AU187" s="18" t="s">
        <v>198</v>
      </c>
    </row>
    <row r="188" spans="2:47" s="1" customFormat="1" ht="11.25">
      <c r="B188" s="33"/>
      <c r="D188" s="146" t="s">
        <v>189</v>
      </c>
      <c r="F188" s="147" t="s">
        <v>1957</v>
      </c>
      <c r="I188" s="144"/>
      <c r="L188" s="33"/>
      <c r="M188" s="145"/>
      <c r="T188" s="54"/>
      <c r="AT188" s="18" t="s">
        <v>189</v>
      </c>
      <c r="AU188" s="18" t="s">
        <v>198</v>
      </c>
    </row>
    <row r="189" spans="2:51" s="12" customFormat="1" ht="11.25">
      <c r="B189" s="149"/>
      <c r="D189" s="142" t="s">
        <v>193</v>
      </c>
      <c r="E189" s="150" t="s">
        <v>3</v>
      </c>
      <c r="F189" s="151" t="s">
        <v>1958</v>
      </c>
      <c r="H189" s="152">
        <v>1.595</v>
      </c>
      <c r="I189" s="153"/>
      <c r="L189" s="149"/>
      <c r="M189" s="154"/>
      <c r="T189" s="155"/>
      <c r="AT189" s="150" t="s">
        <v>193</v>
      </c>
      <c r="AU189" s="150" t="s">
        <v>198</v>
      </c>
      <c r="AV189" s="12" t="s">
        <v>87</v>
      </c>
      <c r="AW189" s="12" t="s">
        <v>36</v>
      </c>
      <c r="AX189" s="12" t="s">
        <v>77</v>
      </c>
      <c r="AY189" s="150" t="s">
        <v>177</v>
      </c>
    </row>
    <row r="190" spans="2:51" s="12" customFormat="1" ht="11.25">
      <c r="B190" s="149"/>
      <c r="D190" s="142" t="s">
        <v>193</v>
      </c>
      <c r="E190" s="150" t="s">
        <v>3</v>
      </c>
      <c r="F190" s="151" t="s">
        <v>1959</v>
      </c>
      <c r="H190" s="152">
        <v>0.675</v>
      </c>
      <c r="I190" s="153"/>
      <c r="L190" s="149"/>
      <c r="M190" s="154"/>
      <c r="T190" s="155"/>
      <c r="AT190" s="150" t="s">
        <v>193</v>
      </c>
      <c r="AU190" s="150" t="s">
        <v>198</v>
      </c>
      <c r="AV190" s="12" t="s">
        <v>87</v>
      </c>
      <c r="AW190" s="12" t="s">
        <v>36</v>
      </c>
      <c r="AX190" s="12" t="s">
        <v>77</v>
      </c>
      <c r="AY190" s="150" t="s">
        <v>177</v>
      </c>
    </row>
    <row r="191" spans="2:51" s="12" customFormat="1" ht="11.25">
      <c r="B191" s="149"/>
      <c r="D191" s="142" t="s">
        <v>193</v>
      </c>
      <c r="E191" s="150" t="s">
        <v>3</v>
      </c>
      <c r="F191" s="151" t="s">
        <v>1960</v>
      </c>
      <c r="H191" s="152">
        <v>1.335</v>
      </c>
      <c r="I191" s="153"/>
      <c r="L191" s="149"/>
      <c r="M191" s="154"/>
      <c r="T191" s="155"/>
      <c r="AT191" s="150" t="s">
        <v>193</v>
      </c>
      <c r="AU191" s="150" t="s">
        <v>198</v>
      </c>
      <c r="AV191" s="12" t="s">
        <v>87</v>
      </c>
      <c r="AW191" s="12" t="s">
        <v>36</v>
      </c>
      <c r="AX191" s="12" t="s">
        <v>77</v>
      </c>
      <c r="AY191" s="150" t="s">
        <v>177</v>
      </c>
    </row>
    <row r="192" spans="2:51" s="15" customFormat="1" ht="11.25">
      <c r="B192" s="169"/>
      <c r="D192" s="142" t="s">
        <v>193</v>
      </c>
      <c r="E192" s="170" t="s">
        <v>3</v>
      </c>
      <c r="F192" s="171" t="s">
        <v>201</v>
      </c>
      <c r="H192" s="172">
        <v>3.605</v>
      </c>
      <c r="I192" s="173"/>
      <c r="L192" s="169"/>
      <c r="M192" s="174"/>
      <c r="T192" s="175"/>
      <c r="AT192" s="170" t="s">
        <v>193</v>
      </c>
      <c r="AU192" s="170" t="s">
        <v>198</v>
      </c>
      <c r="AV192" s="15" t="s">
        <v>185</v>
      </c>
      <c r="AW192" s="15" t="s">
        <v>36</v>
      </c>
      <c r="AX192" s="15" t="s">
        <v>85</v>
      </c>
      <c r="AY192" s="170" t="s">
        <v>177</v>
      </c>
    </row>
    <row r="193" spans="2:65" s="1" customFormat="1" ht="24.2" customHeight="1">
      <c r="B193" s="128"/>
      <c r="C193" s="129" t="s">
        <v>302</v>
      </c>
      <c r="D193" s="129" t="s">
        <v>180</v>
      </c>
      <c r="E193" s="130" t="s">
        <v>1961</v>
      </c>
      <c r="F193" s="131" t="s">
        <v>1962</v>
      </c>
      <c r="G193" s="132" t="s">
        <v>183</v>
      </c>
      <c r="H193" s="133">
        <v>0.047</v>
      </c>
      <c r="I193" s="134"/>
      <c r="J193" s="135">
        <f>ROUND(I193*H193,2)</f>
        <v>0</v>
      </c>
      <c r="K193" s="131" t="s">
        <v>184</v>
      </c>
      <c r="L193" s="33"/>
      <c r="M193" s="136" t="s">
        <v>3</v>
      </c>
      <c r="N193" s="137" t="s">
        <v>48</v>
      </c>
      <c r="P193" s="138">
        <f>O193*H193</f>
        <v>0</v>
      </c>
      <c r="Q193" s="138">
        <v>1.0492724</v>
      </c>
      <c r="R193" s="138">
        <f>Q193*H193</f>
        <v>0.0493158028</v>
      </c>
      <c r="S193" s="138">
        <v>0</v>
      </c>
      <c r="T193" s="139">
        <f>S193*H193</f>
        <v>0</v>
      </c>
      <c r="AR193" s="140" t="s">
        <v>185</v>
      </c>
      <c r="AT193" s="140" t="s">
        <v>180</v>
      </c>
      <c r="AU193" s="140" t="s">
        <v>198</v>
      </c>
      <c r="AY193" s="18" t="s">
        <v>177</v>
      </c>
      <c r="BE193" s="141">
        <f>IF(N193="základní",J193,0)</f>
        <v>0</v>
      </c>
      <c r="BF193" s="141">
        <f>IF(N193="snížená",J193,0)</f>
        <v>0</v>
      </c>
      <c r="BG193" s="141">
        <f>IF(N193="zákl. přenesená",J193,0)</f>
        <v>0</v>
      </c>
      <c r="BH193" s="141">
        <f>IF(N193="sníž. přenesená",J193,0)</f>
        <v>0</v>
      </c>
      <c r="BI193" s="141">
        <f>IF(N193="nulová",J193,0)</f>
        <v>0</v>
      </c>
      <c r="BJ193" s="18" t="s">
        <v>85</v>
      </c>
      <c r="BK193" s="141">
        <f>ROUND(I193*H193,2)</f>
        <v>0</v>
      </c>
      <c r="BL193" s="18" t="s">
        <v>185</v>
      </c>
      <c r="BM193" s="140" t="s">
        <v>1963</v>
      </c>
    </row>
    <row r="194" spans="2:47" s="1" customFormat="1" ht="19.5">
      <c r="B194" s="33"/>
      <c r="D194" s="142" t="s">
        <v>187</v>
      </c>
      <c r="F194" s="143" t="s">
        <v>1964</v>
      </c>
      <c r="I194" s="144"/>
      <c r="L194" s="33"/>
      <c r="M194" s="145"/>
      <c r="T194" s="54"/>
      <c r="AT194" s="18" t="s">
        <v>187</v>
      </c>
      <c r="AU194" s="18" t="s">
        <v>198</v>
      </c>
    </row>
    <row r="195" spans="2:47" s="1" customFormat="1" ht="11.25">
      <c r="B195" s="33"/>
      <c r="D195" s="146" t="s">
        <v>189</v>
      </c>
      <c r="F195" s="147" t="s">
        <v>1965</v>
      </c>
      <c r="I195" s="144"/>
      <c r="L195" s="33"/>
      <c r="M195" s="145"/>
      <c r="T195" s="54"/>
      <c r="AT195" s="18" t="s">
        <v>189</v>
      </c>
      <c r="AU195" s="18" t="s">
        <v>198</v>
      </c>
    </row>
    <row r="196" spans="2:51" s="12" customFormat="1" ht="11.25">
      <c r="B196" s="149"/>
      <c r="D196" s="142" t="s">
        <v>193</v>
      </c>
      <c r="E196" s="150" t="s">
        <v>3</v>
      </c>
      <c r="F196" s="151" t="s">
        <v>1966</v>
      </c>
      <c r="H196" s="152">
        <v>0.047</v>
      </c>
      <c r="I196" s="153"/>
      <c r="L196" s="149"/>
      <c r="M196" s="154"/>
      <c r="T196" s="155"/>
      <c r="AT196" s="150" t="s">
        <v>193</v>
      </c>
      <c r="AU196" s="150" t="s">
        <v>198</v>
      </c>
      <c r="AV196" s="12" t="s">
        <v>87</v>
      </c>
      <c r="AW196" s="12" t="s">
        <v>36</v>
      </c>
      <c r="AX196" s="12" t="s">
        <v>85</v>
      </c>
      <c r="AY196" s="150" t="s">
        <v>177</v>
      </c>
    </row>
    <row r="197" spans="2:65" s="1" customFormat="1" ht="24.2" customHeight="1">
      <c r="B197" s="128"/>
      <c r="C197" s="129" t="s">
        <v>315</v>
      </c>
      <c r="D197" s="129" t="s">
        <v>180</v>
      </c>
      <c r="E197" s="130" t="s">
        <v>1967</v>
      </c>
      <c r="F197" s="131" t="s">
        <v>1968</v>
      </c>
      <c r="G197" s="132" t="s">
        <v>183</v>
      </c>
      <c r="H197" s="133">
        <v>0.094</v>
      </c>
      <c r="I197" s="134"/>
      <c r="J197" s="135">
        <f>ROUND(I197*H197,2)</f>
        <v>0</v>
      </c>
      <c r="K197" s="131" t="s">
        <v>184</v>
      </c>
      <c r="L197" s="33"/>
      <c r="M197" s="136" t="s">
        <v>3</v>
      </c>
      <c r="N197" s="137" t="s">
        <v>48</v>
      </c>
      <c r="P197" s="138">
        <f>O197*H197</f>
        <v>0</v>
      </c>
      <c r="Q197" s="138">
        <v>1.0627727797</v>
      </c>
      <c r="R197" s="138">
        <f>Q197*H197</f>
        <v>0.0999006412918</v>
      </c>
      <c r="S197" s="138">
        <v>0</v>
      </c>
      <c r="T197" s="139">
        <f>S197*H197</f>
        <v>0</v>
      </c>
      <c r="AR197" s="140" t="s">
        <v>185</v>
      </c>
      <c r="AT197" s="140" t="s">
        <v>180</v>
      </c>
      <c r="AU197" s="140" t="s">
        <v>198</v>
      </c>
      <c r="AY197" s="18" t="s">
        <v>177</v>
      </c>
      <c r="BE197" s="141">
        <f>IF(N197="základní",J197,0)</f>
        <v>0</v>
      </c>
      <c r="BF197" s="141">
        <f>IF(N197="snížená",J197,0)</f>
        <v>0</v>
      </c>
      <c r="BG197" s="141">
        <f>IF(N197="zákl. přenesená",J197,0)</f>
        <v>0</v>
      </c>
      <c r="BH197" s="141">
        <f>IF(N197="sníž. přenesená",J197,0)</f>
        <v>0</v>
      </c>
      <c r="BI197" s="141">
        <f>IF(N197="nulová",J197,0)</f>
        <v>0</v>
      </c>
      <c r="BJ197" s="18" t="s">
        <v>85</v>
      </c>
      <c r="BK197" s="141">
        <f>ROUND(I197*H197,2)</f>
        <v>0</v>
      </c>
      <c r="BL197" s="18" t="s">
        <v>185</v>
      </c>
      <c r="BM197" s="140" t="s">
        <v>1969</v>
      </c>
    </row>
    <row r="198" spans="2:47" s="1" customFormat="1" ht="19.5">
      <c r="B198" s="33"/>
      <c r="D198" s="142" t="s">
        <v>187</v>
      </c>
      <c r="F198" s="143" t="s">
        <v>1970</v>
      </c>
      <c r="I198" s="144"/>
      <c r="L198" s="33"/>
      <c r="M198" s="145"/>
      <c r="T198" s="54"/>
      <c r="AT198" s="18" t="s">
        <v>187</v>
      </c>
      <c r="AU198" s="18" t="s">
        <v>198</v>
      </c>
    </row>
    <row r="199" spans="2:47" s="1" customFormat="1" ht="11.25">
      <c r="B199" s="33"/>
      <c r="D199" s="146" t="s">
        <v>189</v>
      </c>
      <c r="F199" s="147" t="s">
        <v>1971</v>
      </c>
      <c r="I199" s="144"/>
      <c r="L199" s="33"/>
      <c r="M199" s="145"/>
      <c r="T199" s="54"/>
      <c r="AT199" s="18" t="s">
        <v>189</v>
      </c>
      <c r="AU199" s="18" t="s">
        <v>198</v>
      </c>
    </row>
    <row r="200" spans="2:51" s="12" customFormat="1" ht="11.25">
      <c r="B200" s="149"/>
      <c r="D200" s="142" t="s">
        <v>193</v>
      </c>
      <c r="E200" s="150" t="s">
        <v>3</v>
      </c>
      <c r="F200" s="151" t="s">
        <v>1972</v>
      </c>
      <c r="H200" s="152">
        <v>0.094</v>
      </c>
      <c r="I200" s="153"/>
      <c r="L200" s="149"/>
      <c r="M200" s="154"/>
      <c r="T200" s="155"/>
      <c r="AT200" s="150" t="s">
        <v>193</v>
      </c>
      <c r="AU200" s="150" t="s">
        <v>198</v>
      </c>
      <c r="AV200" s="12" t="s">
        <v>87</v>
      </c>
      <c r="AW200" s="12" t="s">
        <v>36</v>
      </c>
      <c r="AX200" s="12" t="s">
        <v>85</v>
      </c>
      <c r="AY200" s="150" t="s">
        <v>177</v>
      </c>
    </row>
    <row r="201" spans="2:65" s="1" customFormat="1" ht="24.2" customHeight="1">
      <c r="B201" s="128"/>
      <c r="C201" s="129" t="s">
        <v>461</v>
      </c>
      <c r="D201" s="129" t="s">
        <v>180</v>
      </c>
      <c r="E201" s="130" t="s">
        <v>1973</v>
      </c>
      <c r="F201" s="131" t="s">
        <v>1974</v>
      </c>
      <c r="G201" s="132" t="s">
        <v>332</v>
      </c>
      <c r="H201" s="133">
        <v>27.056</v>
      </c>
      <c r="I201" s="134"/>
      <c r="J201" s="135">
        <f>ROUND(I201*H201,2)</f>
        <v>0</v>
      </c>
      <c r="K201" s="131" t="s">
        <v>184</v>
      </c>
      <c r="L201" s="33"/>
      <c r="M201" s="136" t="s">
        <v>3</v>
      </c>
      <c r="N201" s="137" t="s">
        <v>48</v>
      </c>
      <c r="P201" s="138">
        <f>O201*H201</f>
        <v>0</v>
      </c>
      <c r="Q201" s="138">
        <v>0.012824856</v>
      </c>
      <c r="R201" s="138">
        <f>Q201*H201</f>
        <v>0.346989303936</v>
      </c>
      <c r="S201" s="138">
        <v>0</v>
      </c>
      <c r="T201" s="139">
        <f>S201*H201</f>
        <v>0</v>
      </c>
      <c r="AR201" s="140" t="s">
        <v>185</v>
      </c>
      <c r="AT201" s="140" t="s">
        <v>180</v>
      </c>
      <c r="AU201" s="140" t="s">
        <v>198</v>
      </c>
      <c r="AY201" s="18" t="s">
        <v>177</v>
      </c>
      <c r="BE201" s="141">
        <f>IF(N201="základní",J201,0)</f>
        <v>0</v>
      </c>
      <c r="BF201" s="141">
        <f>IF(N201="snížená",J201,0)</f>
        <v>0</v>
      </c>
      <c r="BG201" s="141">
        <f>IF(N201="zákl. přenesená",J201,0)</f>
        <v>0</v>
      </c>
      <c r="BH201" s="141">
        <f>IF(N201="sníž. přenesená",J201,0)</f>
        <v>0</v>
      </c>
      <c r="BI201" s="141">
        <f>IF(N201="nulová",J201,0)</f>
        <v>0</v>
      </c>
      <c r="BJ201" s="18" t="s">
        <v>85</v>
      </c>
      <c r="BK201" s="141">
        <f>ROUND(I201*H201,2)</f>
        <v>0</v>
      </c>
      <c r="BL201" s="18" t="s">
        <v>185</v>
      </c>
      <c r="BM201" s="140" t="s">
        <v>1975</v>
      </c>
    </row>
    <row r="202" spans="2:47" s="1" customFormat="1" ht="19.5">
      <c r="B202" s="33"/>
      <c r="D202" s="142" t="s">
        <v>187</v>
      </c>
      <c r="F202" s="143" t="s">
        <v>1976</v>
      </c>
      <c r="I202" s="144"/>
      <c r="L202" s="33"/>
      <c r="M202" s="145"/>
      <c r="T202" s="54"/>
      <c r="AT202" s="18" t="s">
        <v>187</v>
      </c>
      <c r="AU202" s="18" t="s">
        <v>198</v>
      </c>
    </row>
    <row r="203" spans="2:47" s="1" customFormat="1" ht="11.25">
      <c r="B203" s="33"/>
      <c r="D203" s="146" t="s">
        <v>189</v>
      </c>
      <c r="F203" s="147" t="s">
        <v>1977</v>
      </c>
      <c r="I203" s="144"/>
      <c r="L203" s="33"/>
      <c r="M203" s="145"/>
      <c r="T203" s="54"/>
      <c r="AT203" s="18" t="s">
        <v>189</v>
      </c>
      <c r="AU203" s="18" t="s">
        <v>198</v>
      </c>
    </row>
    <row r="204" spans="2:51" s="12" customFormat="1" ht="11.25">
      <c r="B204" s="149"/>
      <c r="D204" s="142" t="s">
        <v>193</v>
      </c>
      <c r="E204" s="150" t="s">
        <v>3</v>
      </c>
      <c r="F204" s="151" t="s">
        <v>1978</v>
      </c>
      <c r="H204" s="152">
        <v>4.806</v>
      </c>
      <c r="I204" s="153"/>
      <c r="L204" s="149"/>
      <c r="M204" s="154"/>
      <c r="T204" s="155"/>
      <c r="AT204" s="150" t="s">
        <v>193</v>
      </c>
      <c r="AU204" s="150" t="s">
        <v>198</v>
      </c>
      <c r="AV204" s="12" t="s">
        <v>87</v>
      </c>
      <c r="AW204" s="12" t="s">
        <v>36</v>
      </c>
      <c r="AX204" s="12" t="s">
        <v>77</v>
      </c>
      <c r="AY204" s="150" t="s">
        <v>177</v>
      </c>
    </row>
    <row r="205" spans="2:51" s="12" customFormat="1" ht="11.25">
      <c r="B205" s="149"/>
      <c r="D205" s="142" t="s">
        <v>193</v>
      </c>
      <c r="E205" s="150" t="s">
        <v>3</v>
      </c>
      <c r="F205" s="151" t="s">
        <v>1979</v>
      </c>
      <c r="H205" s="152">
        <v>17.25</v>
      </c>
      <c r="I205" s="153"/>
      <c r="L205" s="149"/>
      <c r="M205" s="154"/>
      <c r="T205" s="155"/>
      <c r="AT205" s="150" t="s">
        <v>193</v>
      </c>
      <c r="AU205" s="150" t="s">
        <v>198</v>
      </c>
      <c r="AV205" s="12" t="s">
        <v>87</v>
      </c>
      <c r="AW205" s="12" t="s">
        <v>36</v>
      </c>
      <c r="AX205" s="12" t="s">
        <v>77</v>
      </c>
      <c r="AY205" s="150" t="s">
        <v>177</v>
      </c>
    </row>
    <row r="206" spans="2:51" s="14" customFormat="1" ht="11.25">
      <c r="B206" s="162"/>
      <c r="D206" s="142" t="s">
        <v>193</v>
      </c>
      <c r="E206" s="163" t="s">
        <v>3</v>
      </c>
      <c r="F206" s="164" t="s">
        <v>197</v>
      </c>
      <c r="H206" s="165">
        <v>22.056</v>
      </c>
      <c r="I206" s="166"/>
      <c r="L206" s="162"/>
      <c r="M206" s="167"/>
      <c r="T206" s="168"/>
      <c r="AT206" s="163" t="s">
        <v>193</v>
      </c>
      <c r="AU206" s="163" t="s">
        <v>198</v>
      </c>
      <c r="AV206" s="14" t="s">
        <v>198</v>
      </c>
      <c r="AW206" s="14" t="s">
        <v>36</v>
      </c>
      <c r="AX206" s="14" t="s">
        <v>77</v>
      </c>
      <c r="AY206" s="163" t="s">
        <v>177</v>
      </c>
    </row>
    <row r="207" spans="2:51" s="13" customFormat="1" ht="11.25">
      <c r="B207" s="156"/>
      <c r="D207" s="142" t="s">
        <v>193</v>
      </c>
      <c r="E207" s="157" t="s">
        <v>3</v>
      </c>
      <c r="F207" s="158" t="s">
        <v>1980</v>
      </c>
      <c r="H207" s="157" t="s">
        <v>3</v>
      </c>
      <c r="I207" s="159"/>
      <c r="L207" s="156"/>
      <c r="M207" s="160"/>
      <c r="T207" s="161"/>
      <c r="AT207" s="157" t="s">
        <v>193</v>
      </c>
      <c r="AU207" s="157" t="s">
        <v>198</v>
      </c>
      <c r="AV207" s="13" t="s">
        <v>85</v>
      </c>
      <c r="AW207" s="13" t="s">
        <v>36</v>
      </c>
      <c r="AX207" s="13" t="s">
        <v>77</v>
      </c>
      <c r="AY207" s="157" t="s">
        <v>177</v>
      </c>
    </row>
    <row r="208" spans="2:51" s="12" customFormat="1" ht="11.25">
      <c r="B208" s="149"/>
      <c r="D208" s="142" t="s">
        <v>193</v>
      </c>
      <c r="E208" s="150" t="s">
        <v>3</v>
      </c>
      <c r="F208" s="151" t="s">
        <v>200</v>
      </c>
      <c r="H208" s="152">
        <v>5</v>
      </c>
      <c r="I208" s="153"/>
      <c r="L208" s="149"/>
      <c r="M208" s="154"/>
      <c r="T208" s="155"/>
      <c r="AT208" s="150" t="s">
        <v>193</v>
      </c>
      <c r="AU208" s="150" t="s">
        <v>198</v>
      </c>
      <c r="AV208" s="12" t="s">
        <v>87</v>
      </c>
      <c r="AW208" s="12" t="s">
        <v>36</v>
      </c>
      <c r="AX208" s="12" t="s">
        <v>77</v>
      </c>
      <c r="AY208" s="150" t="s">
        <v>177</v>
      </c>
    </row>
    <row r="209" spans="2:51" s="15" customFormat="1" ht="11.25">
      <c r="B209" s="169"/>
      <c r="D209" s="142" t="s">
        <v>193</v>
      </c>
      <c r="E209" s="170" t="s">
        <v>3</v>
      </c>
      <c r="F209" s="171" t="s">
        <v>201</v>
      </c>
      <c r="H209" s="172">
        <v>27.056</v>
      </c>
      <c r="I209" s="173"/>
      <c r="L209" s="169"/>
      <c r="M209" s="174"/>
      <c r="T209" s="175"/>
      <c r="AT209" s="170" t="s">
        <v>193</v>
      </c>
      <c r="AU209" s="170" t="s">
        <v>198</v>
      </c>
      <c r="AV209" s="15" t="s">
        <v>185</v>
      </c>
      <c r="AW209" s="15" t="s">
        <v>36</v>
      </c>
      <c r="AX209" s="15" t="s">
        <v>85</v>
      </c>
      <c r="AY209" s="170" t="s">
        <v>177</v>
      </c>
    </row>
    <row r="210" spans="2:65" s="1" customFormat="1" ht="24.2" customHeight="1">
      <c r="B210" s="128"/>
      <c r="C210" s="129" t="s">
        <v>467</v>
      </c>
      <c r="D210" s="129" t="s">
        <v>180</v>
      </c>
      <c r="E210" s="130" t="s">
        <v>1981</v>
      </c>
      <c r="F210" s="131" t="s">
        <v>1982</v>
      </c>
      <c r="G210" s="132" t="s">
        <v>332</v>
      </c>
      <c r="H210" s="133">
        <v>27.056</v>
      </c>
      <c r="I210" s="134"/>
      <c r="J210" s="135">
        <f>ROUND(I210*H210,2)</f>
        <v>0</v>
      </c>
      <c r="K210" s="131" t="s">
        <v>184</v>
      </c>
      <c r="L210" s="33"/>
      <c r="M210" s="136" t="s">
        <v>3</v>
      </c>
      <c r="N210" s="137" t="s">
        <v>48</v>
      </c>
      <c r="P210" s="138">
        <f>O210*H210</f>
        <v>0</v>
      </c>
      <c r="Q210" s="138">
        <v>0</v>
      </c>
      <c r="R210" s="138">
        <f>Q210*H210</f>
        <v>0</v>
      </c>
      <c r="S210" s="138">
        <v>0</v>
      </c>
      <c r="T210" s="139">
        <f>S210*H210</f>
        <v>0</v>
      </c>
      <c r="AR210" s="140" t="s">
        <v>185</v>
      </c>
      <c r="AT210" s="140" t="s">
        <v>180</v>
      </c>
      <c r="AU210" s="140" t="s">
        <v>198</v>
      </c>
      <c r="AY210" s="18" t="s">
        <v>177</v>
      </c>
      <c r="BE210" s="141">
        <f>IF(N210="základní",J210,0)</f>
        <v>0</v>
      </c>
      <c r="BF210" s="141">
        <f>IF(N210="snížená",J210,0)</f>
        <v>0</v>
      </c>
      <c r="BG210" s="141">
        <f>IF(N210="zákl. přenesená",J210,0)</f>
        <v>0</v>
      </c>
      <c r="BH210" s="141">
        <f>IF(N210="sníž. přenesená",J210,0)</f>
        <v>0</v>
      </c>
      <c r="BI210" s="141">
        <f>IF(N210="nulová",J210,0)</f>
        <v>0</v>
      </c>
      <c r="BJ210" s="18" t="s">
        <v>85</v>
      </c>
      <c r="BK210" s="141">
        <f>ROUND(I210*H210,2)</f>
        <v>0</v>
      </c>
      <c r="BL210" s="18" t="s">
        <v>185</v>
      </c>
      <c r="BM210" s="140" t="s">
        <v>1983</v>
      </c>
    </row>
    <row r="211" spans="2:47" s="1" customFormat="1" ht="19.5">
      <c r="B211" s="33"/>
      <c r="D211" s="142" t="s">
        <v>187</v>
      </c>
      <c r="F211" s="143" t="s">
        <v>1984</v>
      </c>
      <c r="I211" s="144"/>
      <c r="L211" s="33"/>
      <c r="M211" s="145"/>
      <c r="T211" s="54"/>
      <c r="AT211" s="18" t="s">
        <v>187</v>
      </c>
      <c r="AU211" s="18" t="s">
        <v>198</v>
      </c>
    </row>
    <row r="212" spans="2:47" s="1" customFormat="1" ht="11.25">
      <c r="B212" s="33"/>
      <c r="D212" s="146" t="s">
        <v>189</v>
      </c>
      <c r="F212" s="147" t="s">
        <v>1985</v>
      </c>
      <c r="I212" s="144"/>
      <c r="L212" s="33"/>
      <c r="M212" s="145"/>
      <c r="T212" s="54"/>
      <c r="AT212" s="18" t="s">
        <v>189</v>
      </c>
      <c r="AU212" s="18" t="s">
        <v>198</v>
      </c>
    </row>
    <row r="213" spans="2:65" s="1" customFormat="1" ht="24.2" customHeight="1">
      <c r="B213" s="128"/>
      <c r="C213" s="129" t="s">
        <v>8</v>
      </c>
      <c r="D213" s="129" t="s">
        <v>180</v>
      </c>
      <c r="E213" s="130" t="s">
        <v>1986</v>
      </c>
      <c r="F213" s="131" t="s">
        <v>1987</v>
      </c>
      <c r="G213" s="132" t="s">
        <v>332</v>
      </c>
      <c r="H213" s="133">
        <v>17.25</v>
      </c>
      <c r="I213" s="134"/>
      <c r="J213" s="135">
        <f>ROUND(I213*H213,2)</f>
        <v>0</v>
      </c>
      <c r="K213" s="131" t="s">
        <v>184</v>
      </c>
      <c r="L213" s="33"/>
      <c r="M213" s="136" t="s">
        <v>3</v>
      </c>
      <c r="N213" s="137" t="s">
        <v>48</v>
      </c>
      <c r="P213" s="138">
        <f>O213*H213</f>
        <v>0</v>
      </c>
      <c r="Q213" s="138">
        <v>0.0028055</v>
      </c>
      <c r="R213" s="138">
        <f>Q213*H213</f>
        <v>0.048394875</v>
      </c>
      <c r="S213" s="138">
        <v>0</v>
      </c>
      <c r="T213" s="139">
        <f>S213*H213</f>
        <v>0</v>
      </c>
      <c r="AR213" s="140" t="s">
        <v>185</v>
      </c>
      <c r="AT213" s="140" t="s">
        <v>180</v>
      </c>
      <c r="AU213" s="140" t="s">
        <v>198</v>
      </c>
      <c r="AY213" s="18" t="s">
        <v>177</v>
      </c>
      <c r="BE213" s="141">
        <f>IF(N213="základní",J213,0)</f>
        <v>0</v>
      </c>
      <c r="BF213" s="141">
        <f>IF(N213="snížená",J213,0)</f>
        <v>0</v>
      </c>
      <c r="BG213" s="141">
        <f>IF(N213="zákl. přenesená",J213,0)</f>
        <v>0</v>
      </c>
      <c r="BH213" s="141">
        <f>IF(N213="sníž. přenesená",J213,0)</f>
        <v>0</v>
      </c>
      <c r="BI213" s="141">
        <f>IF(N213="nulová",J213,0)</f>
        <v>0</v>
      </c>
      <c r="BJ213" s="18" t="s">
        <v>85</v>
      </c>
      <c r="BK213" s="141">
        <f>ROUND(I213*H213,2)</f>
        <v>0</v>
      </c>
      <c r="BL213" s="18" t="s">
        <v>185</v>
      </c>
      <c r="BM213" s="140" t="s">
        <v>1988</v>
      </c>
    </row>
    <row r="214" spans="2:47" s="1" customFormat="1" ht="29.25">
      <c r="B214" s="33"/>
      <c r="D214" s="142" t="s">
        <v>187</v>
      </c>
      <c r="F214" s="143" t="s">
        <v>1989</v>
      </c>
      <c r="I214" s="144"/>
      <c r="L214" s="33"/>
      <c r="M214" s="145"/>
      <c r="T214" s="54"/>
      <c r="AT214" s="18" t="s">
        <v>187</v>
      </c>
      <c r="AU214" s="18" t="s">
        <v>198</v>
      </c>
    </row>
    <row r="215" spans="2:47" s="1" customFormat="1" ht="11.25">
      <c r="B215" s="33"/>
      <c r="D215" s="146" t="s">
        <v>189</v>
      </c>
      <c r="F215" s="147" t="s">
        <v>1990</v>
      </c>
      <c r="I215" s="144"/>
      <c r="L215" s="33"/>
      <c r="M215" s="145"/>
      <c r="T215" s="54"/>
      <c r="AT215" s="18" t="s">
        <v>189</v>
      </c>
      <c r="AU215" s="18" t="s">
        <v>198</v>
      </c>
    </row>
    <row r="216" spans="2:51" s="12" customFormat="1" ht="11.25">
      <c r="B216" s="149"/>
      <c r="D216" s="142" t="s">
        <v>193</v>
      </c>
      <c r="E216" s="150" t="s">
        <v>3</v>
      </c>
      <c r="F216" s="151" t="s">
        <v>1979</v>
      </c>
      <c r="H216" s="152">
        <v>17.25</v>
      </c>
      <c r="I216" s="153"/>
      <c r="L216" s="149"/>
      <c r="M216" s="154"/>
      <c r="T216" s="155"/>
      <c r="AT216" s="150" t="s">
        <v>193</v>
      </c>
      <c r="AU216" s="150" t="s">
        <v>198</v>
      </c>
      <c r="AV216" s="12" t="s">
        <v>87</v>
      </c>
      <c r="AW216" s="12" t="s">
        <v>36</v>
      </c>
      <c r="AX216" s="12" t="s">
        <v>85</v>
      </c>
      <c r="AY216" s="150" t="s">
        <v>177</v>
      </c>
    </row>
    <row r="217" spans="2:65" s="1" customFormat="1" ht="24.2" customHeight="1">
      <c r="B217" s="128"/>
      <c r="C217" s="129" t="s">
        <v>483</v>
      </c>
      <c r="D217" s="129" t="s">
        <v>180</v>
      </c>
      <c r="E217" s="130" t="s">
        <v>1991</v>
      </c>
      <c r="F217" s="131" t="s">
        <v>1992</v>
      </c>
      <c r="G217" s="132" t="s">
        <v>332</v>
      </c>
      <c r="H217" s="133">
        <v>17.25</v>
      </c>
      <c r="I217" s="134"/>
      <c r="J217" s="135">
        <f>ROUND(I217*H217,2)</f>
        <v>0</v>
      </c>
      <c r="K217" s="131" t="s">
        <v>184</v>
      </c>
      <c r="L217" s="33"/>
      <c r="M217" s="136" t="s">
        <v>3</v>
      </c>
      <c r="N217" s="137" t="s">
        <v>48</v>
      </c>
      <c r="P217" s="138">
        <f>O217*H217</f>
        <v>0</v>
      </c>
      <c r="Q217" s="138">
        <v>0</v>
      </c>
      <c r="R217" s="138">
        <f>Q217*H217</f>
        <v>0</v>
      </c>
      <c r="S217" s="138">
        <v>0</v>
      </c>
      <c r="T217" s="139">
        <f>S217*H217</f>
        <v>0</v>
      </c>
      <c r="AR217" s="140" t="s">
        <v>185</v>
      </c>
      <c r="AT217" s="140" t="s">
        <v>180</v>
      </c>
      <c r="AU217" s="140" t="s">
        <v>198</v>
      </c>
      <c r="AY217" s="18" t="s">
        <v>177</v>
      </c>
      <c r="BE217" s="141">
        <f>IF(N217="základní",J217,0)</f>
        <v>0</v>
      </c>
      <c r="BF217" s="141">
        <f>IF(N217="snížená",J217,0)</f>
        <v>0</v>
      </c>
      <c r="BG217" s="141">
        <f>IF(N217="zákl. přenesená",J217,0)</f>
        <v>0</v>
      </c>
      <c r="BH217" s="141">
        <f>IF(N217="sníž. přenesená",J217,0)</f>
        <v>0</v>
      </c>
      <c r="BI217" s="141">
        <f>IF(N217="nulová",J217,0)</f>
        <v>0</v>
      </c>
      <c r="BJ217" s="18" t="s">
        <v>85</v>
      </c>
      <c r="BK217" s="141">
        <f>ROUND(I217*H217,2)</f>
        <v>0</v>
      </c>
      <c r="BL217" s="18" t="s">
        <v>185</v>
      </c>
      <c r="BM217" s="140" t="s">
        <v>1993</v>
      </c>
    </row>
    <row r="218" spans="2:47" s="1" customFormat="1" ht="29.25">
      <c r="B218" s="33"/>
      <c r="D218" s="142" t="s">
        <v>187</v>
      </c>
      <c r="F218" s="143" t="s">
        <v>1994</v>
      </c>
      <c r="I218" s="144"/>
      <c r="L218" s="33"/>
      <c r="M218" s="145"/>
      <c r="T218" s="54"/>
      <c r="AT218" s="18" t="s">
        <v>187</v>
      </c>
      <c r="AU218" s="18" t="s">
        <v>198</v>
      </c>
    </row>
    <row r="219" spans="2:47" s="1" customFormat="1" ht="11.25">
      <c r="B219" s="33"/>
      <c r="D219" s="146" t="s">
        <v>189</v>
      </c>
      <c r="F219" s="147" t="s">
        <v>1995</v>
      </c>
      <c r="I219" s="144"/>
      <c r="L219" s="33"/>
      <c r="M219" s="145"/>
      <c r="T219" s="54"/>
      <c r="AT219" s="18" t="s">
        <v>189</v>
      </c>
      <c r="AU219" s="18" t="s">
        <v>198</v>
      </c>
    </row>
    <row r="220" spans="2:65" s="1" customFormat="1" ht="16.5" customHeight="1">
      <c r="B220" s="128"/>
      <c r="C220" s="129" t="s">
        <v>490</v>
      </c>
      <c r="D220" s="129" t="s">
        <v>180</v>
      </c>
      <c r="E220" s="130" t="s">
        <v>1996</v>
      </c>
      <c r="F220" s="131" t="s">
        <v>1997</v>
      </c>
      <c r="G220" s="132" t="s">
        <v>332</v>
      </c>
      <c r="H220" s="133">
        <v>11.34</v>
      </c>
      <c r="I220" s="134"/>
      <c r="J220" s="135">
        <f>ROUND(I220*H220,2)</f>
        <v>0</v>
      </c>
      <c r="K220" s="131" t="s">
        <v>184</v>
      </c>
      <c r="L220" s="33"/>
      <c r="M220" s="136" t="s">
        <v>3</v>
      </c>
      <c r="N220" s="137" t="s">
        <v>48</v>
      </c>
      <c r="P220" s="138">
        <f>O220*H220</f>
        <v>0</v>
      </c>
      <c r="Q220" s="138">
        <v>0.00658464</v>
      </c>
      <c r="R220" s="138">
        <f>Q220*H220</f>
        <v>0.0746698176</v>
      </c>
      <c r="S220" s="138">
        <v>0</v>
      </c>
      <c r="T220" s="139">
        <f>S220*H220</f>
        <v>0</v>
      </c>
      <c r="AR220" s="140" t="s">
        <v>185</v>
      </c>
      <c r="AT220" s="140" t="s">
        <v>180</v>
      </c>
      <c r="AU220" s="140" t="s">
        <v>198</v>
      </c>
      <c r="AY220" s="18" t="s">
        <v>177</v>
      </c>
      <c r="BE220" s="141">
        <f>IF(N220="základní",J220,0)</f>
        <v>0</v>
      </c>
      <c r="BF220" s="141">
        <f>IF(N220="snížená",J220,0)</f>
        <v>0</v>
      </c>
      <c r="BG220" s="141">
        <f>IF(N220="zákl. přenesená",J220,0)</f>
        <v>0</v>
      </c>
      <c r="BH220" s="141">
        <f>IF(N220="sníž. přenesená",J220,0)</f>
        <v>0</v>
      </c>
      <c r="BI220" s="141">
        <f>IF(N220="nulová",J220,0)</f>
        <v>0</v>
      </c>
      <c r="BJ220" s="18" t="s">
        <v>85</v>
      </c>
      <c r="BK220" s="141">
        <f>ROUND(I220*H220,2)</f>
        <v>0</v>
      </c>
      <c r="BL220" s="18" t="s">
        <v>185</v>
      </c>
      <c r="BM220" s="140" t="s">
        <v>1998</v>
      </c>
    </row>
    <row r="221" spans="2:47" s="1" customFormat="1" ht="19.5">
      <c r="B221" s="33"/>
      <c r="D221" s="142" t="s">
        <v>187</v>
      </c>
      <c r="F221" s="143" t="s">
        <v>1999</v>
      </c>
      <c r="I221" s="144"/>
      <c r="L221" s="33"/>
      <c r="M221" s="145"/>
      <c r="T221" s="54"/>
      <c r="AT221" s="18" t="s">
        <v>187</v>
      </c>
      <c r="AU221" s="18" t="s">
        <v>198</v>
      </c>
    </row>
    <row r="222" spans="2:47" s="1" customFormat="1" ht="11.25">
      <c r="B222" s="33"/>
      <c r="D222" s="146" t="s">
        <v>189</v>
      </c>
      <c r="F222" s="147" t="s">
        <v>2000</v>
      </c>
      <c r="I222" s="144"/>
      <c r="L222" s="33"/>
      <c r="M222" s="145"/>
      <c r="T222" s="54"/>
      <c r="AT222" s="18" t="s">
        <v>189</v>
      </c>
      <c r="AU222" s="18" t="s">
        <v>198</v>
      </c>
    </row>
    <row r="223" spans="2:47" s="1" customFormat="1" ht="39">
      <c r="B223" s="33"/>
      <c r="D223" s="142" t="s">
        <v>191</v>
      </c>
      <c r="F223" s="148" t="s">
        <v>2001</v>
      </c>
      <c r="I223" s="144"/>
      <c r="L223" s="33"/>
      <c r="M223" s="145"/>
      <c r="T223" s="54"/>
      <c r="AT223" s="18" t="s">
        <v>191</v>
      </c>
      <c r="AU223" s="18" t="s">
        <v>198</v>
      </c>
    </row>
    <row r="224" spans="2:51" s="12" customFormat="1" ht="11.25">
      <c r="B224" s="149"/>
      <c r="D224" s="142" t="s">
        <v>193</v>
      </c>
      <c r="E224" s="150" t="s">
        <v>3</v>
      </c>
      <c r="F224" s="151" t="s">
        <v>2002</v>
      </c>
      <c r="H224" s="152">
        <v>11.34</v>
      </c>
      <c r="I224" s="153"/>
      <c r="L224" s="149"/>
      <c r="M224" s="154"/>
      <c r="T224" s="155"/>
      <c r="AT224" s="150" t="s">
        <v>193</v>
      </c>
      <c r="AU224" s="150" t="s">
        <v>198</v>
      </c>
      <c r="AV224" s="12" t="s">
        <v>87</v>
      </c>
      <c r="AW224" s="12" t="s">
        <v>36</v>
      </c>
      <c r="AX224" s="12" t="s">
        <v>85</v>
      </c>
      <c r="AY224" s="150" t="s">
        <v>177</v>
      </c>
    </row>
    <row r="225" spans="2:65" s="1" customFormat="1" ht="16.5" customHeight="1">
      <c r="B225" s="128"/>
      <c r="C225" s="129" t="s">
        <v>496</v>
      </c>
      <c r="D225" s="129" t="s">
        <v>180</v>
      </c>
      <c r="E225" s="130" t="s">
        <v>2003</v>
      </c>
      <c r="F225" s="131" t="s">
        <v>2004</v>
      </c>
      <c r="G225" s="132" t="s">
        <v>332</v>
      </c>
      <c r="H225" s="133">
        <v>11.34</v>
      </c>
      <c r="I225" s="134"/>
      <c r="J225" s="135">
        <f>ROUND(I225*H225,2)</f>
        <v>0</v>
      </c>
      <c r="K225" s="131" t="s">
        <v>184</v>
      </c>
      <c r="L225" s="33"/>
      <c r="M225" s="136" t="s">
        <v>3</v>
      </c>
      <c r="N225" s="137" t="s">
        <v>48</v>
      </c>
      <c r="P225" s="138">
        <f>O225*H225</f>
        <v>0</v>
      </c>
      <c r="Q225" s="138">
        <v>0</v>
      </c>
      <c r="R225" s="138">
        <f>Q225*H225</f>
        <v>0</v>
      </c>
      <c r="S225" s="138">
        <v>0</v>
      </c>
      <c r="T225" s="139">
        <f>S225*H225</f>
        <v>0</v>
      </c>
      <c r="AR225" s="140" t="s">
        <v>185</v>
      </c>
      <c r="AT225" s="140" t="s">
        <v>180</v>
      </c>
      <c r="AU225" s="140" t="s">
        <v>198</v>
      </c>
      <c r="AY225" s="18" t="s">
        <v>177</v>
      </c>
      <c r="BE225" s="141">
        <f>IF(N225="základní",J225,0)</f>
        <v>0</v>
      </c>
      <c r="BF225" s="141">
        <f>IF(N225="snížená",J225,0)</f>
        <v>0</v>
      </c>
      <c r="BG225" s="141">
        <f>IF(N225="zákl. přenesená",J225,0)</f>
        <v>0</v>
      </c>
      <c r="BH225" s="141">
        <f>IF(N225="sníž. přenesená",J225,0)</f>
        <v>0</v>
      </c>
      <c r="BI225" s="141">
        <f>IF(N225="nulová",J225,0)</f>
        <v>0</v>
      </c>
      <c r="BJ225" s="18" t="s">
        <v>85</v>
      </c>
      <c r="BK225" s="141">
        <f>ROUND(I225*H225,2)</f>
        <v>0</v>
      </c>
      <c r="BL225" s="18" t="s">
        <v>185</v>
      </c>
      <c r="BM225" s="140" t="s">
        <v>2005</v>
      </c>
    </row>
    <row r="226" spans="2:47" s="1" customFormat="1" ht="19.5">
      <c r="B226" s="33"/>
      <c r="D226" s="142" t="s">
        <v>187</v>
      </c>
      <c r="F226" s="143" t="s">
        <v>2006</v>
      </c>
      <c r="I226" s="144"/>
      <c r="L226" s="33"/>
      <c r="M226" s="145"/>
      <c r="T226" s="54"/>
      <c r="AT226" s="18" t="s">
        <v>187</v>
      </c>
      <c r="AU226" s="18" t="s">
        <v>198</v>
      </c>
    </row>
    <row r="227" spans="2:47" s="1" customFormat="1" ht="11.25">
      <c r="B227" s="33"/>
      <c r="D227" s="146" t="s">
        <v>189</v>
      </c>
      <c r="F227" s="147" t="s">
        <v>2007</v>
      </c>
      <c r="I227" s="144"/>
      <c r="L227" s="33"/>
      <c r="M227" s="145"/>
      <c r="T227" s="54"/>
      <c r="AT227" s="18" t="s">
        <v>189</v>
      </c>
      <c r="AU227" s="18" t="s">
        <v>198</v>
      </c>
    </row>
    <row r="228" spans="2:47" s="1" customFormat="1" ht="39">
      <c r="B228" s="33"/>
      <c r="D228" s="142" t="s">
        <v>191</v>
      </c>
      <c r="F228" s="148" t="s">
        <v>2001</v>
      </c>
      <c r="I228" s="144"/>
      <c r="L228" s="33"/>
      <c r="M228" s="145"/>
      <c r="T228" s="54"/>
      <c r="AT228" s="18" t="s">
        <v>191</v>
      </c>
      <c r="AU228" s="18" t="s">
        <v>198</v>
      </c>
    </row>
    <row r="229" spans="2:63" s="11" customFormat="1" ht="22.9" customHeight="1">
      <c r="B229" s="116"/>
      <c r="D229" s="117" t="s">
        <v>76</v>
      </c>
      <c r="E229" s="126" t="s">
        <v>233</v>
      </c>
      <c r="F229" s="126" t="s">
        <v>625</v>
      </c>
      <c r="I229" s="119"/>
      <c r="J229" s="127">
        <f>BK229</f>
        <v>0</v>
      </c>
      <c r="L229" s="116"/>
      <c r="M229" s="121"/>
      <c r="P229" s="122">
        <f>SUM(P230:P281)</f>
        <v>0</v>
      </c>
      <c r="R229" s="122">
        <f>SUM(R230:R281)</f>
        <v>15.644449095399999</v>
      </c>
      <c r="T229" s="123">
        <f>SUM(T230:T281)</f>
        <v>0</v>
      </c>
      <c r="AR229" s="117" t="s">
        <v>85</v>
      </c>
      <c r="AT229" s="124" t="s">
        <v>76</v>
      </c>
      <c r="AU229" s="124" t="s">
        <v>85</v>
      </c>
      <c r="AY229" s="117" t="s">
        <v>177</v>
      </c>
      <c r="BK229" s="125">
        <f>SUM(BK230:BK281)</f>
        <v>0</v>
      </c>
    </row>
    <row r="230" spans="2:65" s="1" customFormat="1" ht="24.2" customHeight="1">
      <c r="B230" s="128"/>
      <c r="C230" s="129" t="s">
        <v>502</v>
      </c>
      <c r="D230" s="129" t="s">
        <v>180</v>
      </c>
      <c r="E230" s="130" t="s">
        <v>1743</v>
      </c>
      <c r="F230" s="131" t="s">
        <v>1744</v>
      </c>
      <c r="G230" s="132" t="s">
        <v>806</v>
      </c>
      <c r="H230" s="133">
        <v>6.034</v>
      </c>
      <c r="I230" s="134"/>
      <c r="J230" s="135">
        <f>ROUND(I230*H230,2)</f>
        <v>0</v>
      </c>
      <c r="K230" s="131" t="s">
        <v>184</v>
      </c>
      <c r="L230" s="33"/>
      <c r="M230" s="136" t="s">
        <v>3</v>
      </c>
      <c r="N230" s="137" t="s">
        <v>48</v>
      </c>
      <c r="P230" s="138">
        <f>O230*H230</f>
        <v>0</v>
      </c>
      <c r="Q230" s="138">
        <v>0.002525</v>
      </c>
      <c r="R230" s="138">
        <f>Q230*H230</f>
        <v>0.015235849999999999</v>
      </c>
      <c r="S230" s="138">
        <v>0</v>
      </c>
      <c r="T230" s="139">
        <f>S230*H230</f>
        <v>0</v>
      </c>
      <c r="AR230" s="140" t="s">
        <v>185</v>
      </c>
      <c r="AT230" s="140" t="s">
        <v>180</v>
      </c>
      <c r="AU230" s="140" t="s">
        <v>87</v>
      </c>
      <c r="AY230" s="18" t="s">
        <v>177</v>
      </c>
      <c r="BE230" s="141">
        <f>IF(N230="základní",J230,0)</f>
        <v>0</v>
      </c>
      <c r="BF230" s="141">
        <f>IF(N230="snížená",J230,0)</f>
        <v>0</v>
      </c>
      <c r="BG230" s="141">
        <f>IF(N230="zákl. přenesená",J230,0)</f>
        <v>0</v>
      </c>
      <c r="BH230" s="141">
        <f>IF(N230="sníž. přenesená",J230,0)</f>
        <v>0</v>
      </c>
      <c r="BI230" s="141">
        <f>IF(N230="nulová",J230,0)</f>
        <v>0</v>
      </c>
      <c r="BJ230" s="18" t="s">
        <v>85</v>
      </c>
      <c r="BK230" s="141">
        <f>ROUND(I230*H230,2)</f>
        <v>0</v>
      </c>
      <c r="BL230" s="18" t="s">
        <v>185</v>
      </c>
      <c r="BM230" s="140" t="s">
        <v>2008</v>
      </c>
    </row>
    <row r="231" spans="2:47" s="1" customFormat="1" ht="19.5">
      <c r="B231" s="33"/>
      <c r="D231" s="142" t="s">
        <v>187</v>
      </c>
      <c r="F231" s="143" t="s">
        <v>1746</v>
      </c>
      <c r="I231" s="144"/>
      <c r="L231" s="33"/>
      <c r="M231" s="145"/>
      <c r="T231" s="54"/>
      <c r="AT231" s="18" t="s">
        <v>187</v>
      </c>
      <c r="AU231" s="18" t="s">
        <v>87</v>
      </c>
    </row>
    <row r="232" spans="2:47" s="1" customFormat="1" ht="11.25">
      <c r="B232" s="33"/>
      <c r="D232" s="146" t="s">
        <v>189</v>
      </c>
      <c r="F232" s="147" t="s">
        <v>1747</v>
      </c>
      <c r="I232" s="144"/>
      <c r="L232" s="33"/>
      <c r="M232" s="145"/>
      <c r="T232" s="54"/>
      <c r="AT232" s="18" t="s">
        <v>189</v>
      </c>
      <c r="AU232" s="18" t="s">
        <v>87</v>
      </c>
    </row>
    <row r="233" spans="2:51" s="12" customFormat="1" ht="11.25">
      <c r="B233" s="149"/>
      <c r="D233" s="142" t="s">
        <v>193</v>
      </c>
      <c r="E233" s="150" t="s">
        <v>3</v>
      </c>
      <c r="F233" s="151" t="s">
        <v>2009</v>
      </c>
      <c r="H233" s="152">
        <v>6.034</v>
      </c>
      <c r="I233" s="153"/>
      <c r="L233" s="149"/>
      <c r="M233" s="154"/>
      <c r="T233" s="155"/>
      <c r="AT233" s="150" t="s">
        <v>193</v>
      </c>
      <c r="AU233" s="150" t="s">
        <v>87</v>
      </c>
      <c r="AV233" s="12" t="s">
        <v>87</v>
      </c>
      <c r="AW233" s="12" t="s">
        <v>36</v>
      </c>
      <c r="AX233" s="12" t="s">
        <v>85</v>
      </c>
      <c r="AY233" s="150" t="s">
        <v>177</v>
      </c>
    </row>
    <row r="234" spans="2:65" s="1" customFormat="1" ht="24.2" customHeight="1">
      <c r="B234" s="128"/>
      <c r="C234" s="129" t="s">
        <v>504</v>
      </c>
      <c r="D234" s="129" t="s">
        <v>180</v>
      </c>
      <c r="E234" s="130" t="s">
        <v>1749</v>
      </c>
      <c r="F234" s="131" t="s">
        <v>1750</v>
      </c>
      <c r="G234" s="132" t="s">
        <v>332</v>
      </c>
      <c r="H234" s="133">
        <v>301.7</v>
      </c>
      <c r="I234" s="134"/>
      <c r="J234" s="135">
        <f>ROUND(I234*H234,2)</f>
        <v>0</v>
      </c>
      <c r="K234" s="131" t="s">
        <v>184</v>
      </c>
      <c r="L234" s="33"/>
      <c r="M234" s="136" t="s">
        <v>3</v>
      </c>
      <c r="N234" s="137" t="s">
        <v>48</v>
      </c>
      <c r="P234" s="138">
        <f>O234*H234</f>
        <v>0</v>
      </c>
      <c r="Q234" s="138">
        <v>0.0408</v>
      </c>
      <c r="R234" s="138">
        <f>Q234*H234</f>
        <v>12.30936</v>
      </c>
      <c r="S234" s="138">
        <v>0</v>
      </c>
      <c r="T234" s="139">
        <f>S234*H234</f>
        <v>0</v>
      </c>
      <c r="AR234" s="140" t="s">
        <v>185</v>
      </c>
      <c r="AT234" s="140" t="s">
        <v>180</v>
      </c>
      <c r="AU234" s="140" t="s">
        <v>87</v>
      </c>
      <c r="AY234" s="18" t="s">
        <v>177</v>
      </c>
      <c r="BE234" s="141">
        <f>IF(N234="základní",J234,0)</f>
        <v>0</v>
      </c>
      <c r="BF234" s="141">
        <f>IF(N234="snížená",J234,0)</f>
        <v>0</v>
      </c>
      <c r="BG234" s="141">
        <f>IF(N234="zákl. přenesená",J234,0)</f>
        <v>0</v>
      </c>
      <c r="BH234" s="141">
        <f>IF(N234="sníž. přenesená",J234,0)</f>
        <v>0</v>
      </c>
      <c r="BI234" s="141">
        <f>IF(N234="nulová",J234,0)</f>
        <v>0</v>
      </c>
      <c r="BJ234" s="18" t="s">
        <v>85</v>
      </c>
      <c r="BK234" s="141">
        <f>ROUND(I234*H234,2)</f>
        <v>0</v>
      </c>
      <c r="BL234" s="18" t="s">
        <v>185</v>
      </c>
      <c r="BM234" s="140" t="s">
        <v>2010</v>
      </c>
    </row>
    <row r="235" spans="2:47" s="1" customFormat="1" ht="19.5">
      <c r="B235" s="33"/>
      <c r="D235" s="142" t="s">
        <v>187</v>
      </c>
      <c r="F235" s="143" t="s">
        <v>1752</v>
      </c>
      <c r="I235" s="144"/>
      <c r="L235" s="33"/>
      <c r="M235" s="145"/>
      <c r="T235" s="54"/>
      <c r="AT235" s="18" t="s">
        <v>187</v>
      </c>
      <c r="AU235" s="18" t="s">
        <v>87</v>
      </c>
    </row>
    <row r="236" spans="2:47" s="1" customFormat="1" ht="11.25">
      <c r="B236" s="33"/>
      <c r="D236" s="146" t="s">
        <v>189</v>
      </c>
      <c r="F236" s="147" t="s">
        <v>1753</v>
      </c>
      <c r="I236" s="144"/>
      <c r="L236" s="33"/>
      <c r="M236" s="145"/>
      <c r="T236" s="54"/>
      <c r="AT236" s="18" t="s">
        <v>189</v>
      </c>
      <c r="AU236" s="18" t="s">
        <v>87</v>
      </c>
    </row>
    <row r="237" spans="2:51" s="12" customFormat="1" ht="11.25">
      <c r="B237" s="149"/>
      <c r="D237" s="142" t="s">
        <v>193</v>
      </c>
      <c r="E237" s="150" t="s">
        <v>3</v>
      </c>
      <c r="F237" s="151" t="s">
        <v>2011</v>
      </c>
      <c r="H237" s="152">
        <v>301.7</v>
      </c>
      <c r="I237" s="153"/>
      <c r="L237" s="149"/>
      <c r="M237" s="154"/>
      <c r="T237" s="155"/>
      <c r="AT237" s="150" t="s">
        <v>193</v>
      </c>
      <c r="AU237" s="150" t="s">
        <v>87</v>
      </c>
      <c r="AV237" s="12" t="s">
        <v>87</v>
      </c>
      <c r="AW237" s="12" t="s">
        <v>36</v>
      </c>
      <c r="AX237" s="12" t="s">
        <v>85</v>
      </c>
      <c r="AY237" s="150" t="s">
        <v>177</v>
      </c>
    </row>
    <row r="238" spans="2:65" s="1" customFormat="1" ht="33" customHeight="1">
      <c r="B238" s="128"/>
      <c r="C238" s="129" t="s">
        <v>507</v>
      </c>
      <c r="D238" s="129" t="s">
        <v>180</v>
      </c>
      <c r="E238" s="130" t="s">
        <v>1755</v>
      </c>
      <c r="F238" s="131" t="s">
        <v>1756</v>
      </c>
      <c r="G238" s="132" t="s">
        <v>476</v>
      </c>
      <c r="H238" s="133">
        <v>186.46</v>
      </c>
      <c r="I238" s="134"/>
      <c r="J238" s="135">
        <f>ROUND(I238*H238,2)</f>
        <v>0</v>
      </c>
      <c r="K238" s="131" t="s">
        <v>184</v>
      </c>
      <c r="L238" s="33"/>
      <c r="M238" s="136" t="s">
        <v>3</v>
      </c>
      <c r="N238" s="137" t="s">
        <v>48</v>
      </c>
      <c r="P238" s="138">
        <f>O238*H238</f>
        <v>0</v>
      </c>
      <c r="Q238" s="138">
        <v>2.1E-05</v>
      </c>
      <c r="R238" s="138">
        <f>Q238*H238</f>
        <v>0.00391566</v>
      </c>
      <c r="S238" s="138">
        <v>0</v>
      </c>
      <c r="T238" s="139">
        <f>S238*H238</f>
        <v>0</v>
      </c>
      <c r="AR238" s="140" t="s">
        <v>185</v>
      </c>
      <c r="AT238" s="140" t="s">
        <v>180</v>
      </c>
      <c r="AU238" s="140" t="s">
        <v>87</v>
      </c>
      <c r="AY238" s="18" t="s">
        <v>177</v>
      </c>
      <c r="BE238" s="141">
        <f>IF(N238="základní",J238,0)</f>
        <v>0</v>
      </c>
      <c r="BF238" s="141">
        <f>IF(N238="snížená",J238,0)</f>
        <v>0</v>
      </c>
      <c r="BG238" s="141">
        <f>IF(N238="zákl. přenesená",J238,0)</f>
        <v>0</v>
      </c>
      <c r="BH238" s="141">
        <f>IF(N238="sníž. přenesená",J238,0)</f>
        <v>0</v>
      </c>
      <c r="BI238" s="141">
        <f>IF(N238="nulová",J238,0)</f>
        <v>0</v>
      </c>
      <c r="BJ238" s="18" t="s">
        <v>85</v>
      </c>
      <c r="BK238" s="141">
        <f>ROUND(I238*H238,2)</f>
        <v>0</v>
      </c>
      <c r="BL238" s="18" t="s">
        <v>185</v>
      </c>
      <c r="BM238" s="140" t="s">
        <v>2012</v>
      </c>
    </row>
    <row r="239" spans="2:47" s="1" customFormat="1" ht="19.5">
      <c r="B239" s="33"/>
      <c r="D239" s="142" t="s">
        <v>187</v>
      </c>
      <c r="F239" s="143" t="s">
        <v>1758</v>
      </c>
      <c r="I239" s="144"/>
      <c r="L239" s="33"/>
      <c r="M239" s="145"/>
      <c r="T239" s="54"/>
      <c r="AT239" s="18" t="s">
        <v>187</v>
      </c>
      <c r="AU239" s="18" t="s">
        <v>87</v>
      </c>
    </row>
    <row r="240" spans="2:47" s="1" customFormat="1" ht="11.25">
      <c r="B240" s="33"/>
      <c r="D240" s="146" t="s">
        <v>189</v>
      </c>
      <c r="F240" s="147" t="s">
        <v>1759</v>
      </c>
      <c r="I240" s="144"/>
      <c r="L240" s="33"/>
      <c r="M240" s="145"/>
      <c r="T240" s="54"/>
      <c r="AT240" s="18" t="s">
        <v>189</v>
      </c>
      <c r="AU240" s="18" t="s">
        <v>87</v>
      </c>
    </row>
    <row r="241" spans="2:51" s="12" customFormat="1" ht="11.25">
      <c r="B241" s="149"/>
      <c r="D241" s="142" t="s">
        <v>193</v>
      </c>
      <c r="E241" s="150" t="s">
        <v>3</v>
      </c>
      <c r="F241" s="151" t="s">
        <v>2013</v>
      </c>
      <c r="H241" s="152">
        <v>54.71</v>
      </c>
      <c r="I241" s="153"/>
      <c r="L241" s="149"/>
      <c r="M241" s="154"/>
      <c r="T241" s="155"/>
      <c r="AT241" s="150" t="s">
        <v>193</v>
      </c>
      <c r="AU241" s="150" t="s">
        <v>87</v>
      </c>
      <c r="AV241" s="12" t="s">
        <v>87</v>
      </c>
      <c r="AW241" s="12" t="s">
        <v>36</v>
      </c>
      <c r="AX241" s="12" t="s">
        <v>77</v>
      </c>
      <c r="AY241" s="150" t="s">
        <v>177</v>
      </c>
    </row>
    <row r="242" spans="2:51" s="12" customFormat="1" ht="11.25">
      <c r="B242" s="149"/>
      <c r="D242" s="142" t="s">
        <v>193</v>
      </c>
      <c r="E242" s="150" t="s">
        <v>3</v>
      </c>
      <c r="F242" s="151" t="s">
        <v>2014</v>
      </c>
      <c r="H242" s="152">
        <v>39.8</v>
      </c>
      <c r="I242" s="153"/>
      <c r="L242" s="149"/>
      <c r="M242" s="154"/>
      <c r="T242" s="155"/>
      <c r="AT242" s="150" t="s">
        <v>193</v>
      </c>
      <c r="AU242" s="150" t="s">
        <v>87</v>
      </c>
      <c r="AV242" s="12" t="s">
        <v>87</v>
      </c>
      <c r="AW242" s="12" t="s">
        <v>36</v>
      </c>
      <c r="AX242" s="12" t="s">
        <v>77</v>
      </c>
      <c r="AY242" s="150" t="s">
        <v>177</v>
      </c>
    </row>
    <row r="243" spans="2:51" s="12" customFormat="1" ht="11.25">
      <c r="B243" s="149"/>
      <c r="D243" s="142" t="s">
        <v>193</v>
      </c>
      <c r="E243" s="150" t="s">
        <v>3</v>
      </c>
      <c r="F243" s="151" t="s">
        <v>2015</v>
      </c>
      <c r="H243" s="152">
        <v>35.74</v>
      </c>
      <c r="I243" s="153"/>
      <c r="L243" s="149"/>
      <c r="M243" s="154"/>
      <c r="T243" s="155"/>
      <c r="AT243" s="150" t="s">
        <v>193</v>
      </c>
      <c r="AU243" s="150" t="s">
        <v>87</v>
      </c>
      <c r="AV243" s="12" t="s">
        <v>87</v>
      </c>
      <c r="AW243" s="12" t="s">
        <v>36</v>
      </c>
      <c r="AX243" s="12" t="s">
        <v>77</v>
      </c>
      <c r="AY243" s="150" t="s">
        <v>177</v>
      </c>
    </row>
    <row r="244" spans="2:51" s="12" customFormat="1" ht="11.25">
      <c r="B244" s="149"/>
      <c r="D244" s="142" t="s">
        <v>193</v>
      </c>
      <c r="E244" s="150" t="s">
        <v>3</v>
      </c>
      <c r="F244" s="151" t="s">
        <v>2016</v>
      </c>
      <c r="H244" s="152">
        <v>16.2</v>
      </c>
      <c r="I244" s="153"/>
      <c r="L244" s="149"/>
      <c r="M244" s="154"/>
      <c r="T244" s="155"/>
      <c r="AT244" s="150" t="s">
        <v>193</v>
      </c>
      <c r="AU244" s="150" t="s">
        <v>87</v>
      </c>
      <c r="AV244" s="12" t="s">
        <v>87</v>
      </c>
      <c r="AW244" s="12" t="s">
        <v>36</v>
      </c>
      <c r="AX244" s="12" t="s">
        <v>77</v>
      </c>
      <c r="AY244" s="150" t="s">
        <v>177</v>
      </c>
    </row>
    <row r="245" spans="2:51" s="12" customFormat="1" ht="11.25">
      <c r="B245" s="149"/>
      <c r="D245" s="142" t="s">
        <v>193</v>
      </c>
      <c r="E245" s="150" t="s">
        <v>3</v>
      </c>
      <c r="F245" s="151" t="s">
        <v>2017</v>
      </c>
      <c r="H245" s="152">
        <v>15.41</v>
      </c>
      <c r="I245" s="153"/>
      <c r="L245" s="149"/>
      <c r="M245" s="154"/>
      <c r="T245" s="155"/>
      <c r="AT245" s="150" t="s">
        <v>193</v>
      </c>
      <c r="AU245" s="150" t="s">
        <v>87</v>
      </c>
      <c r="AV245" s="12" t="s">
        <v>87</v>
      </c>
      <c r="AW245" s="12" t="s">
        <v>36</v>
      </c>
      <c r="AX245" s="12" t="s">
        <v>77</v>
      </c>
      <c r="AY245" s="150" t="s">
        <v>177</v>
      </c>
    </row>
    <row r="246" spans="2:51" s="12" customFormat="1" ht="11.25">
      <c r="B246" s="149"/>
      <c r="D246" s="142" t="s">
        <v>193</v>
      </c>
      <c r="E246" s="150" t="s">
        <v>3</v>
      </c>
      <c r="F246" s="151" t="s">
        <v>2018</v>
      </c>
      <c r="H246" s="152">
        <v>24.6</v>
      </c>
      <c r="I246" s="153"/>
      <c r="L246" s="149"/>
      <c r="M246" s="154"/>
      <c r="T246" s="155"/>
      <c r="AT246" s="150" t="s">
        <v>193</v>
      </c>
      <c r="AU246" s="150" t="s">
        <v>87</v>
      </c>
      <c r="AV246" s="12" t="s">
        <v>87</v>
      </c>
      <c r="AW246" s="12" t="s">
        <v>36</v>
      </c>
      <c r="AX246" s="12" t="s">
        <v>77</v>
      </c>
      <c r="AY246" s="150" t="s">
        <v>177</v>
      </c>
    </row>
    <row r="247" spans="2:51" s="15" customFormat="1" ht="11.25">
      <c r="B247" s="169"/>
      <c r="D247" s="142" t="s">
        <v>193</v>
      </c>
      <c r="E247" s="170" t="s">
        <v>3</v>
      </c>
      <c r="F247" s="171" t="s">
        <v>201</v>
      </c>
      <c r="H247" s="172">
        <v>186.46</v>
      </c>
      <c r="I247" s="173"/>
      <c r="L247" s="169"/>
      <c r="M247" s="174"/>
      <c r="T247" s="175"/>
      <c r="AT247" s="170" t="s">
        <v>193</v>
      </c>
      <c r="AU247" s="170" t="s">
        <v>87</v>
      </c>
      <c r="AV247" s="15" t="s">
        <v>185</v>
      </c>
      <c r="AW247" s="15" t="s">
        <v>36</v>
      </c>
      <c r="AX247" s="15" t="s">
        <v>85</v>
      </c>
      <c r="AY247" s="170" t="s">
        <v>177</v>
      </c>
    </row>
    <row r="248" spans="2:65" s="1" customFormat="1" ht="24.2" customHeight="1">
      <c r="B248" s="128"/>
      <c r="C248" s="129" t="s">
        <v>509</v>
      </c>
      <c r="D248" s="129" t="s">
        <v>180</v>
      </c>
      <c r="E248" s="130" t="s">
        <v>1764</v>
      </c>
      <c r="F248" s="131" t="s">
        <v>1765</v>
      </c>
      <c r="G248" s="132" t="s">
        <v>236</v>
      </c>
      <c r="H248" s="133">
        <v>9</v>
      </c>
      <c r="I248" s="134"/>
      <c r="J248" s="135">
        <f>ROUND(I248*H248,2)</f>
        <v>0</v>
      </c>
      <c r="K248" s="131" t="s">
        <v>184</v>
      </c>
      <c r="L248" s="33"/>
      <c r="M248" s="136" t="s">
        <v>3</v>
      </c>
      <c r="N248" s="137" t="s">
        <v>48</v>
      </c>
      <c r="P248" s="138">
        <f>O248*H248</f>
        <v>0</v>
      </c>
      <c r="Q248" s="138">
        <v>0.0004816177</v>
      </c>
      <c r="R248" s="138">
        <f>Q248*H248</f>
        <v>0.0043345593000000005</v>
      </c>
      <c r="S248" s="138">
        <v>0</v>
      </c>
      <c r="T248" s="139">
        <f>S248*H248</f>
        <v>0</v>
      </c>
      <c r="AR248" s="140" t="s">
        <v>185</v>
      </c>
      <c r="AT248" s="140" t="s">
        <v>180</v>
      </c>
      <c r="AU248" s="140" t="s">
        <v>87</v>
      </c>
      <c r="AY248" s="18" t="s">
        <v>177</v>
      </c>
      <c r="BE248" s="141">
        <f>IF(N248="základní",J248,0)</f>
        <v>0</v>
      </c>
      <c r="BF248" s="141">
        <f>IF(N248="snížená",J248,0)</f>
        <v>0</v>
      </c>
      <c r="BG248" s="141">
        <f>IF(N248="zákl. přenesená",J248,0)</f>
        <v>0</v>
      </c>
      <c r="BH248" s="141">
        <f>IF(N248="sníž. přenesená",J248,0)</f>
        <v>0</v>
      </c>
      <c r="BI248" s="141">
        <f>IF(N248="nulová",J248,0)</f>
        <v>0</v>
      </c>
      <c r="BJ248" s="18" t="s">
        <v>85</v>
      </c>
      <c r="BK248" s="141">
        <f>ROUND(I248*H248,2)</f>
        <v>0</v>
      </c>
      <c r="BL248" s="18" t="s">
        <v>185</v>
      </c>
      <c r="BM248" s="140" t="s">
        <v>2019</v>
      </c>
    </row>
    <row r="249" spans="2:47" s="1" customFormat="1" ht="29.25">
      <c r="B249" s="33"/>
      <c r="D249" s="142" t="s">
        <v>187</v>
      </c>
      <c r="F249" s="143" t="s">
        <v>1767</v>
      </c>
      <c r="I249" s="144"/>
      <c r="L249" s="33"/>
      <c r="M249" s="145"/>
      <c r="T249" s="54"/>
      <c r="AT249" s="18" t="s">
        <v>187</v>
      </c>
      <c r="AU249" s="18" t="s">
        <v>87</v>
      </c>
    </row>
    <row r="250" spans="2:47" s="1" customFormat="1" ht="11.25">
      <c r="B250" s="33"/>
      <c r="D250" s="146" t="s">
        <v>189</v>
      </c>
      <c r="F250" s="147" t="s">
        <v>1768</v>
      </c>
      <c r="I250" s="144"/>
      <c r="L250" s="33"/>
      <c r="M250" s="145"/>
      <c r="T250" s="54"/>
      <c r="AT250" s="18" t="s">
        <v>189</v>
      </c>
      <c r="AU250" s="18" t="s">
        <v>87</v>
      </c>
    </row>
    <row r="251" spans="2:47" s="1" customFormat="1" ht="195">
      <c r="B251" s="33"/>
      <c r="D251" s="142" t="s">
        <v>191</v>
      </c>
      <c r="F251" s="148" t="s">
        <v>1769</v>
      </c>
      <c r="I251" s="144"/>
      <c r="L251" s="33"/>
      <c r="M251" s="145"/>
      <c r="T251" s="54"/>
      <c r="AT251" s="18" t="s">
        <v>191</v>
      </c>
      <c r="AU251" s="18" t="s">
        <v>87</v>
      </c>
    </row>
    <row r="252" spans="2:65" s="1" customFormat="1" ht="24.2" customHeight="1">
      <c r="B252" s="128"/>
      <c r="C252" s="129" t="s">
        <v>512</v>
      </c>
      <c r="D252" s="129" t="s">
        <v>180</v>
      </c>
      <c r="E252" s="130" t="s">
        <v>2020</v>
      </c>
      <c r="F252" s="131" t="s">
        <v>2021</v>
      </c>
      <c r="G252" s="132" t="s">
        <v>236</v>
      </c>
      <c r="H252" s="133">
        <v>1</v>
      </c>
      <c r="I252" s="134"/>
      <c r="J252" s="135">
        <f>ROUND(I252*H252,2)</f>
        <v>0</v>
      </c>
      <c r="K252" s="131" t="s">
        <v>184</v>
      </c>
      <c r="L252" s="33"/>
      <c r="M252" s="136" t="s">
        <v>3</v>
      </c>
      <c r="N252" s="137" t="s">
        <v>48</v>
      </c>
      <c r="P252" s="138">
        <f>O252*H252</f>
        <v>0</v>
      </c>
      <c r="Q252" s="138">
        <v>0.0009632461</v>
      </c>
      <c r="R252" s="138">
        <f>Q252*H252</f>
        <v>0.0009632461</v>
      </c>
      <c r="S252" s="138">
        <v>0</v>
      </c>
      <c r="T252" s="139">
        <f>S252*H252</f>
        <v>0</v>
      </c>
      <c r="AR252" s="140" t="s">
        <v>185</v>
      </c>
      <c r="AT252" s="140" t="s">
        <v>180</v>
      </c>
      <c r="AU252" s="140" t="s">
        <v>87</v>
      </c>
      <c r="AY252" s="18" t="s">
        <v>177</v>
      </c>
      <c r="BE252" s="141">
        <f>IF(N252="základní",J252,0)</f>
        <v>0</v>
      </c>
      <c r="BF252" s="141">
        <f>IF(N252="snížená",J252,0)</f>
        <v>0</v>
      </c>
      <c r="BG252" s="141">
        <f>IF(N252="zákl. přenesená",J252,0)</f>
        <v>0</v>
      </c>
      <c r="BH252" s="141">
        <f>IF(N252="sníž. přenesená",J252,0)</f>
        <v>0</v>
      </c>
      <c r="BI252" s="141">
        <f>IF(N252="nulová",J252,0)</f>
        <v>0</v>
      </c>
      <c r="BJ252" s="18" t="s">
        <v>85</v>
      </c>
      <c r="BK252" s="141">
        <f>ROUND(I252*H252,2)</f>
        <v>0</v>
      </c>
      <c r="BL252" s="18" t="s">
        <v>185</v>
      </c>
      <c r="BM252" s="140" t="s">
        <v>2022</v>
      </c>
    </row>
    <row r="253" spans="2:47" s="1" customFormat="1" ht="29.25">
      <c r="B253" s="33"/>
      <c r="D253" s="142" t="s">
        <v>187</v>
      </c>
      <c r="F253" s="143" t="s">
        <v>2023</v>
      </c>
      <c r="I253" s="144"/>
      <c r="L253" s="33"/>
      <c r="M253" s="145"/>
      <c r="T253" s="54"/>
      <c r="AT253" s="18" t="s">
        <v>187</v>
      </c>
      <c r="AU253" s="18" t="s">
        <v>87</v>
      </c>
    </row>
    <row r="254" spans="2:47" s="1" customFormat="1" ht="11.25">
      <c r="B254" s="33"/>
      <c r="D254" s="146" t="s">
        <v>189</v>
      </c>
      <c r="F254" s="147" t="s">
        <v>2024</v>
      </c>
      <c r="I254" s="144"/>
      <c r="L254" s="33"/>
      <c r="M254" s="145"/>
      <c r="T254" s="54"/>
      <c r="AT254" s="18" t="s">
        <v>189</v>
      </c>
      <c r="AU254" s="18" t="s">
        <v>87</v>
      </c>
    </row>
    <row r="255" spans="2:47" s="1" customFormat="1" ht="195">
      <c r="B255" s="33"/>
      <c r="D255" s="142" t="s">
        <v>191</v>
      </c>
      <c r="F255" s="148" t="s">
        <v>1769</v>
      </c>
      <c r="I255" s="144"/>
      <c r="L255" s="33"/>
      <c r="M255" s="145"/>
      <c r="T255" s="54"/>
      <c r="AT255" s="18" t="s">
        <v>191</v>
      </c>
      <c r="AU255" s="18" t="s">
        <v>87</v>
      </c>
    </row>
    <row r="256" spans="2:65" s="1" customFormat="1" ht="24.2" customHeight="1">
      <c r="B256" s="128"/>
      <c r="C256" s="179" t="s">
        <v>520</v>
      </c>
      <c r="D256" s="179" t="s">
        <v>484</v>
      </c>
      <c r="E256" s="180" t="s">
        <v>1770</v>
      </c>
      <c r="F256" s="181" t="s">
        <v>1771</v>
      </c>
      <c r="G256" s="182" t="s">
        <v>236</v>
      </c>
      <c r="H256" s="183">
        <v>5</v>
      </c>
      <c r="I256" s="184"/>
      <c r="J256" s="185">
        <f>ROUND(I256*H256,2)</f>
        <v>0</v>
      </c>
      <c r="K256" s="181" t="s">
        <v>184</v>
      </c>
      <c r="L256" s="186"/>
      <c r="M256" s="187" t="s">
        <v>3</v>
      </c>
      <c r="N256" s="188" t="s">
        <v>48</v>
      </c>
      <c r="P256" s="138">
        <f>O256*H256</f>
        <v>0</v>
      </c>
      <c r="Q256" s="138">
        <v>0.01225</v>
      </c>
      <c r="R256" s="138">
        <f>Q256*H256</f>
        <v>0.06125</v>
      </c>
      <c r="S256" s="138">
        <v>0</v>
      </c>
      <c r="T256" s="139">
        <f>S256*H256</f>
        <v>0</v>
      </c>
      <c r="AR256" s="140" t="s">
        <v>248</v>
      </c>
      <c r="AT256" s="140" t="s">
        <v>484</v>
      </c>
      <c r="AU256" s="140" t="s">
        <v>87</v>
      </c>
      <c r="AY256" s="18" t="s">
        <v>177</v>
      </c>
      <c r="BE256" s="141">
        <f>IF(N256="základní",J256,0)</f>
        <v>0</v>
      </c>
      <c r="BF256" s="141">
        <f>IF(N256="snížená",J256,0)</f>
        <v>0</v>
      </c>
      <c r="BG256" s="141">
        <f>IF(N256="zákl. přenesená",J256,0)</f>
        <v>0</v>
      </c>
      <c r="BH256" s="141">
        <f>IF(N256="sníž. přenesená",J256,0)</f>
        <v>0</v>
      </c>
      <c r="BI256" s="141">
        <f>IF(N256="nulová",J256,0)</f>
        <v>0</v>
      </c>
      <c r="BJ256" s="18" t="s">
        <v>85</v>
      </c>
      <c r="BK256" s="141">
        <f>ROUND(I256*H256,2)</f>
        <v>0</v>
      </c>
      <c r="BL256" s="18" t="s">
        <v>185</v>
      </c>
      <c r="BM256" s="140" t="s">
        <v>2025</v>
      </c>
    </row>
    <row r="257" spans="2:47" s="1" customFormat="1" ht="19.5">
      <c r="B257" s="33"/>
      <c r="D257" s="142" t="s">
        <v>187</v>
      </c>
      <c r="F257" s="143" t="s">
        <v>1771</v>
      </c>
      <c r="I257" s="144"/>
      <c r="L257" s="33"/>
      <c r="M257" s="145"/>
      <c r="T257" s="54"/>
      <c r="AT257" s="18" t="s">
        <v>187</v>
      </c>
      <c r="AU257" s="18" t="s">
        <v>87</v>
      </c>
    </row>
    <row r="258" spans="2:65" s="1" customFormat="1" ht="24.2" customHeight="1">
      <c r="B258" s="128"/>
      <c r="C258" s="179" t="s">
        <v>527</v>
      </c>
      <c r="D258" s="179" t="s">
        <v>484</v>
      </c>
      <c r="E258" s="180" t="s">
        <v>1773</v>
      </c>
      <c r="F258" s="181" t="s">
        <v>1774</v>
      </c>
      <c r="G258" s="182" t="s">
        <v>236</v>
      </c>
      <c r="H258" s="183">
        <v>3</v>
      </c>
      <c r="I258" s="184"/>
      <c r="J258" s="185">
        <f>ROUND(I258*H258,2)</f>
        <v>0</v>
      </c>
      <c r="K258" s="181" t="s">
        <v>184</v>
      </c>
      <c r="L258" s="186"/>
      <c r="M258" s="187" t="s">
        <v>3</v>
      </c>
      <c r="N258" s="188" t="s">
        <v>48</v>
      </c>
      <c r="P258" s="138">
        <f>O258*H258</f>
        <v>0</v>
      </c>
      <c r="Q258" s="138">
        <v>0.01489</v>
      </c>
      <c r="R258" s="138">
        <f>Q258*H258</f>
        <v>0.04467</v>
      </c>
      <c r="S258" s="138">
        <v>0</v>
      </c>
      <c r="T258" s="139">
        <f>S258*H258</f>
        <v>0</v>
      </c>
      <c r="AR258" s="140" t="s">
        <v>248</v>
      </c>
      <c r="AT258" s="140" t="s">
        <v>484</v>
      </c>
      <c r="AU258" s="140" t="s">
        <v>87</v>
      </c>
      <c r="AY258" s="18" t="s">
        <v>177</v>
      </c>
      <c r="BE258" s="141">
        <f>IF(N258="základní",J258,0)</f>
        <v>0</v>
      </c>
      <c r="BF258" s="141">
        <f>IF(N258="snížená",J258,0)</f>
        <v>0</v>
      </c>
      <c r="BG258" s="141">
        <f>IF(N258="zákl. přenesená",J258,0)</f>
        <v>0</v>
      </c>
      <c r="BH258" s="141">
        <f>IF(N258="sníž. přenesená",J258,0)</f>
        <v>0</v>
      </c>
      <c r="BI258" s="141">
        <f>IF(N258="nulová",J258,0)</f>
        <v>0</v>
      </c>
      <c r="BJ258" s="18" t="s">
        <v>85</v>
      </c>
      <c r="BK258" s="141">
        <f>ROUND(I258*H258,2)</f>
        <v>0</v>
      </c>
      <c r="BL258" s="18" t="s">
        <v>185</v>
      </c>
      <c r="BM258" s="140" t="s">
        <v>2026</v>
      </c>
    </row>
    <row r="259" spans="2:47" s="1" customFormat="1" ht="19.5">
      <c r="B259" s="33"/>
      <c r="D259" s="142" t="s">
        <v>187</v>
      </c>
      <c r="F259" s="143" t="s">
        <v>1774</v>
      </c>
      <c r="I259" s="144"/>
      <c r="L259" s="33"/>
      <c r="M259" s="145"/>
      <c r="T259" s="54"/>
      <c r="AT259" s="18" t="s">
        <v>187</v>
      </c>
      <c r="AU259" s="18" t="s">
        <v>87</v>
      </c>
    </row>
    <row r="260" spans="2:65" s="1" customFormat="1" ht="24.2" customHeight="1">
      <c r="B260" s="128"/>
      <c r="C260" s="179" t="s">
        <v>537</v>
      </c>
      <c r="D260" s="179" t="s">
        <v>484</v>
      </c>
      <c r="E260" s="180" t="s">
        <v>2027</v>
      </c>
      <c r="F260" s="181" t="s">
        <v>2028</v>
      </c>
      <c r="G260" s="182" t="s">
        <v>236</v>
      </c>
      <c r="H260" s="183">
        <v>1</v>
      </c>
      <c r="I260" s="184"/>
      <c r="J260" s="185">
        <f>ROUND(I260*H260,2)</f>
        <v>0</v>
      </c>
      <c r="K260" s="181" t="s">
        <v>184</v>
      </c>
      <c r="L260" s="186"/>
      <c r="M260" s="187" t="s">
        <v>3</v>
      </c>
      <c r="N260" s="188" t="s">
        <v>48</v>
      </c>
      <c r="P260" s="138">
        <f>O260*H260</f>
        <v>0</v>
      </c>
      <c r="Q260" s="138">
        <v>0.01553</v>
      </c>
      <c r="R260" s="138">
        <f>Q260*H260</f>
        <v>0.01553</v>
      </c>
      <c r="S260" s="138">
        <v>0</v>
      </c>
      <c r="T260" s="139">
        <f>S260*H260</f>
        <v>0</v>
      </c>
      <c r="AR260" s="140" t="s">
        <v>248</v>
      </c>
      <c r="AT260" s="140" t="s">
        <v>484</v>
      </c>
      <c r="AU260" s="140" t="s">
        <v>87</v>
      </c>
      <c r="AY260" s="18" t="s">
        <v>177</v>
      </c>
      <c r="BE260" s="141">
        <f>IF(N260="základní",J260,0)</f>
        <v>0</v>
      </c>
      <c r="BF260" s="141">
        <f>IF(N260="snížená",J260,0)</f>
        <v>0</v>
      </c>
      <c r="BG260" s="141">
        <f>IF(N260="zákl. přenesená",J260,0)</f>
        <v>0</v>
      </c>
      <c r="BH260" s="141">
        <f>IF(N260="sníž. přenesená",J260,0)</f>
        <v>0</v>
      </c>
      <c r="BI260" s="141">
        <f>IF(N260="nulová",J260,0)</f>
        <v>0</v>
      </c>
      <c r="BJ260" s="18" t="s">
        <v>85</v>
      </c>
      <c r="BK260" s="141">
        <f>ROUND(I260*H260,2)</f>
        <v>0</v>
      </c>
      <c r="BL260" s="18" t="s">
        <v>185</v>
      </c>
      <c r="BM260" s="140" t="s">
        <v>2029</v>
      </c>
    </row>
    <row r="261" spans="2:47" s="1" customFormat="1" ht="19.5">
      <c r="B261" s="33"/>
      <c r="D261" s="142" t="s">
        <v>187</v>
      </c>
      <c r="F261" s="143" t="s">
        <v>2028</v>
      </c>
      <c r="I261" s="144"/>
      <c r="L261" s="33"/>
      <c r="M261" s="145"/>
      <c r="T261" s="54"/>
      <c r="AT261" s="18" t="s">
        <v>187</v>
      </c>
      <c r="AU261" s="18" t="s">
        <v>87</v>
      </c>
    </row>
    <row r="262" spans="2:65" s="1" customFormat="1" ht="24.2" customHeight="1">
      <c r="B262" s="128"/>
      <c r="C262" s="179" t="s">
        <v>756</v>
      </c>
      <c r="D262" s="179" t="s">
        <v>484</v>
      </c>
      <c r="E262" s="180" t="s">
        <v>2030</v>
      </c>
      <c r="F262" s="181" t="s">
        <v>2031</v>
      </c>
      <c r="G262" s="182" t="s">
        <v>236</v>
      </c>
      <c r="H262" s="183">
        <v>1</v>
      </c>
      <c r="I262" s="184"/>
      <c r="J262" s="185">
        <f>ROUND(I262*H262,2)</f>
        <v>0</v>
      </c>
      <c r="K262" s="181" t="s">
        <v>184</v>
      </c>
      <c r="L262" s="186"/>
      <c r="M262" s="187" t="s">
        <v>3</v>
      </c>
      <c r="N262" s="188" t="s">
        <v>48</v>
      </c>
      <c r="P262" s="138">
        <f>O262*H262</f>
        <v>0</v>
      </c>
      <c r="Q262" s="138">
        <v>0.029</v>
      </c>
      <c r="R262" s="138">
        <f>Q262*H262</f>
        <v>0.029</v>
      </c>
      <c r="S262" s="138">
        <v>0</v>
      </c>
      <c r="T262" s="139">
        <f>S262*H262</f>
        <v>0</v>
      </c>
      <c r="AR262" s="140" t="s">
        <v>248</v>
      </c>
      <c r="AT262" s="140" t="s">
        <v>484</v>
      </c>
      <c r="AU262" s="140" t="s">
        <v>87</v>
      </c>
      <c r="AY262" s="18" t="s">
        <v>177</v>
      </c>
      <c r="BE262" s="141">
        <f>IF(N262="základní",J262,0)</f>
        <v>0</v>
      </c>
      <c r="BF262" s="141">
        <f>IF(N262="snížená",J262,0)</f>
        <v>0</v>
      </c>
      <c r="BG262" s="141">
        <f>IF(N262="zákl. přenesená",J262,0)</f>
        <v>0</v>
      </c>
      <c r="BH262" s="141">
        <f>IF(N262="sníž. přenesená",J262,0)</f>
        <v>0</v>
      </c>
      <c r="BI262" s="141">
        <f>IF(N262="nulová",J262,0)</f>
        <v>0</v>
      </c>
      <c r="BJ262" s="18" t="s">
        <v>85</v>
      </c>
      <c r="BK262" s="141">
        <f>ROUND(I262*H262,2)</f>
        <v>0</v>
      </c>
      <c r="BL262" s="18" t="s">
        <v>185</v>
      </c>
      <c r="BM262" s="140" t="s">
        <v>2032</v>
      </c>
    </row>
    <row r="263" spans="2:47" s="1" customFormat="1" ht="19.5">
      <c r="B263" s="33"/>
      <c r="D263" s="142" t="s">
        <v>187</v>
      </c>
      <c r="F263" s="143" t="s">
        <v>2031</v>
      </c>
      <c r="I263" s="144"/>
      <c r="L263" s="33"/>
      <c r="M263" s="145"/>
      <c r="T263" s="54"/>
      <c r="AT263" s="18" t="s">
        <v>187</v>
      </c>
      <c r="AU263" s="18" t="s">
        <v>87</v>
      </c>
    </row>
    <row r="264" spans="2:65" s="1" customFormat="1" ht="24.2" customHeight="1">
      <c r="B264" s="128"/>
      <c r="C264" s="129" t="s">
        <v>763</v>
      </c>
      <c r="D264" s="129" t="s">
        <v>180</v>
      </c>
      <c r="E264" s="130" t="s">
        <v>2033</v>
      </c>
      <c r="F264" s="131" t="s">
        <v>2034</v>
      </c>
      <c r="G264" s="132" t="s">
        <v>236</v>
      </c>
      <c r="H264" s="133">
        <v>2</v>
      </c>
      <c r="I264" s="134"/>
      <c r="J264" s="135">
        <f>ROUND(I264*H264,2)</f>
        <v>0</v>
      </c>
      <c r="K264" s="131" t="s">
        <v>184</v>
      </c>
      <c r="L264" s="33"/>
      <c r="M264" s="136" t="s">
        <v>3</v>
      </c>
      <c r="N264" s="137" t="s">
        <v>48</v>
      </c>
      <c r="P264" s="138">
        <f>O264*H264</f>
        <v>0</v>
      </c>
      <c r="Q264" s="138">
        <v>0.44170337</v>
      </c>
      <c r="R264" s="138">
        <f>Q264*H264</f>
        <v>0.88340674</v>
      </c>
      <c r="S264" s="138">
        <v>0</v>
      </c>
      <c r="T264" s="139">
        <f>S264*H264</f>
        <v>0</v>
      </c>
      <c r="AR264" s="140" t="s">
        <v>185</v>
      </c>
      <c r="AT264" s="140" t="s">
        <v>180</v>
      </c>
      <c r="AU264" s="140" t="s">
        <v>87</v>
      </c>
      <c r="AY264" s="18" t="s">
        <v>177</v>
      </c>
      <c r="BE264" s="141">
        <f>IF(N264="základní",J264,0)</f>
        <v>0</v>
      </c>
      <c r="BF264" s="141">
        <f>IF(N264="snížená",J264,0)</f>
        <v>0</v>
      </c>
      <c r="BG264" s="141">
        <f>IF(N264="zákl. přenesená",J264,0)</f>
        <v>0</v>
      </c>
      <c r="BH264" s="141">
        <f>IF(N264="sníž. přenesená",J264,0)</f>
        <v>0</v>
      </c>
      <c r="BI264" s="141">
        <f>IF(N264="nulová",J264,0)</f>
        <v>0</v>
      </c>
      <c r="BJ264" s="18" t="s">
        <v>85</v>
      </c>
      <c r="BK264" s="141">
        <f>ROUND(I264*H264,2)</f>
        <v>0</v>
      </c>
      <c r="BL264" s="18" t="s">
        <v>185</v>
      </c>
      <c r="BM264" s="140" t="s">
        <v>2035</v>
      </c>
    </row>
    <row r="265" spans="2:47" s="1" customFormat="1" ht="29.25">
      <c r="B265" s="33"/>
      <c r="D265" s="142" t="s">
        <v>187</v>
      </c>
      <c r="F265" s="143" t="s">
        <v>2036</v>
      </c>
      <c r="I265" s="144"/>
      <c r="L265" s="33"/>
      <c r="M265" s="145"/>
      <c r="T265" s="54"/>
      <c r="AT265" s="18" t="s">
        <v>187</v>
      </c>
      <c r="AU265" s="18" t="s">
        <v>87</v>
      </c>
    </row>
    <row r="266" spans="2:47" s="1" customFormat="1" ht="11.25">
      <c r="B266" s="33"/>
      <c r="D266" s="146" t="s">
        <v>189</v>
      </c>
      <c r="F266" s="147" t="s">
        <v>2037</v>
      </c>
      <c r="I266" s="144"/>
      <c r="L266" s="33"/>
      <c r="M266" s="145"/>
      <c r="T266" s="54"/>
      <c r="AT266" s="18" t="s">
        <v>189</v>
      </c>
      <c r="AU266" s="18" t="s">
        <v>87</v>
      </c>
    </row>
    <row r="267" spans="2:47" s="1" customFormat="1" ht="146.25">
      <c r="B267" s="33"/>
      <c r="D267" s="142" t="s">
        <v>191</v>
      </c>
      <c r="F267" s="148" t="s">
        <v>1785</v>
      </c>
      <c r="I267" s="144"/>
      <c r="L267" s="33"/>
      <c r="M267" s="145"/>
      <c r="T267" s="54"/>
      <c r="AT267" s="18" t="s">
        <v>191</v>
      </c>
      <c r="AU267" s="18" t="s">
        <v>87</v>
      </c>
    </row>
    <row r="268" spans="2:65" s="1" customFormat="1" ht="37.9" customHeight="1">
      <c r="B268" s="128"/>
      <c r="C268" s="179" t="s">
        <v>771</v>
      </c>
      <c r="D268" s="179" t="s">
        <v>484</v>
      </c>
      <c r="E268" s="180" t="s">
        <v>2038</v>
      </c>
      <c r="F268" s="181" t="s">
        <v>2039</v>
      </c>
      <c r="G268" s="182" t="s">
        <v>236</v>
      </c>
      <c r="H268" s="183">
        <v>1</v>
      </c>
      <c r="I268" s="184"/>
      <c r="J268" s="185">
        <f>ROUND(I268*H268,2)</f>
        <v>0</v>
      </c>
      <c r="K268" s="181" t="s">
        <v>184</v>
      </c>
      <c r="L268" s="186"/>
      <c r="M268" s="187" t="s">
        <v>3</v>
      </c>
      <c r="N268" s="188" t="s">
        <v>48</v>
      </c>
      <c r="P268" s="138">
        <f>O268*H268</f>
        <v>0</v>
      </c>
      <c r="Q268" s="138">
        <v>0.01249</v>
      </c>
      <c r="R268" s="138">
        <f>Q268*H268</f>
        <v>0.01249</v>
      </c>
      <c r="S268" s="138">
        <v>0</v>
      </c>
      <c r="T268" s="139">
        <f>S268*H268</f>
        <v>0</v>
      </c>
      <c r="AR268" s="140" t="s">
        <v>248</v>
      </c>
      <c r="AT268" s="140" t="s">
        <v>484</v>
      </c>
      <c r="AU268" s="140" t="s">
        <v>87</v>
      </c>
      <c r="AY268" s="18" t="s">
        <v>177</v>
      </c>
      <c r="BE268" s="141">
        <f>IF(N268="základní",J268,0)</f>
        <v>0</v>
      </c>
      <c r="BF268" s="141">
        <f>IF(N268="snížená",J268,0)</f>
        <v>0</v>
      </c>
      <c r="BG268" s="141">
        <f>IF(N268="zákl. přenesená",J268,0)</f>
        <v>0</v>
      </c>
      <c r="BH268" s="141">
        <f>IF(N268="sníž. přenesená",J268,0)</f>
        <v>0</v>
      </c>
      <c r="BI268" s="141">
        <f>IF(N268="nulová",J268,0)</f>
        <v>0</v>
      </c>
      <c r="BJ268" s="18" t="s">
        <v>85</v>
      </c>
      <c r="BK268" s="141">
        <f>ROUND(I268*H268,2)</f>
        <v>0</v>
      </c>
      <c r="BL268" s="18" t="s">
        <v>185</v>
      </c>
      <c r="BM268" s="140" t="s">
        <v>2040</v>
      </c>
    </row>
    <row r="269" spans="2:47" s="1" customFormat="1" ht="19.5">
      <c r="B269" s="33"/>
      <c r="D269" s="142" t="s">
        <v>187</v>
      </c>
      <c r="F269" s="143" t="s">
        <v>2039</v>
      </c>
      <c r="I269" s="144"/>
      <c r="L269" s="33"/>
      <c r="M269" s="145"/>
      <c r="T269" s="54"/>
      <c r="AT269" s="18" t="s">
        <v>187</v>
      </c>
      <c r="AU269" s="18" t="s">
        <v>87</v>
      </c>
    </row>
    <row r="270" spans="2:65" s="1" customFormat="1" ht="37.9" customHeight="1">
      <c r="B270" s="128"/>
      <c r="C270" s="179" t="s">
        <v>780</v>
      </c>
      <c r="D270" s="179" t="s">
        <v>484</v>
      </c>
      <c r="E270" s="180" t="s">
        <v>2041</v>
      </c>
      <c r="F270" s="181" t="s">
        <v>2042</v>
      </c>
      <c r="G270" s="182" t="s">
        <v>236</v>
      </c>
      <c r="H270" s="183">
        <v>1</v>
      </c>
      <c r="I270" s="184"/>
      <c r="J270" s="185">
        <f>ROUND(I270*H270,2)</f>
        <v>0</v>
      </c>
      <c r="K270" s="181" t="s">
        <v>184</v>
      </c>
      <c r="L270" s="186"/>
      <c r="M270" s="187" t="s">
        <v>3</v>
      </c>
      <c r="N270" s="188" t="s">
        <v>48</v>
      </c>
      <c r="P270" s="138">
        <f>O270*H270</f>
        <v>0</v>
      </c>
      <c r="Q270" s="138">
        <v>0.01553</v>
      </c>
      <c r="R270" s="138">
        <f>Q270*H270</f>
        <v>0.01553</v>
      </c>
      <c r="S270" s="138">
        <v>0</v>
      </c>
      <c r="T270" s="139">
        <f>S270*H270</f>
        <v>0</v>
      </c>
      <c r="AR270" s="140" t="s">
        <v>248</v>
      </c>
      <c r="AT270" s="140" t="s">
        <v>484</v>
      </c>
      <c r="AU270" s="140" t="s">
        <v>87</v>
      </c>
      <c r="AY270" s="18" t="s">
        <v>177</v>
      </c>
      <c r="BE270" s="141">
        <f>IF(N270="základní",J270,0)</f>
        <v>0</v>
      </c>
      <c r="BF270" s="141">
        <f>IF(N270="snížená",J270,0)</f>
        <v>0</v>
      </c>
      <c r="BG270" s="141">
        <f>IF(N270="zákl. přenesená",J270,0)</f>
        <v>0</v>
      </c>
      <c r="BH270" s="141">
        <f>IF(N270="sníž. přenesená",J270,0)</f>
        <v>0</v>
      </c>
      <c r="BI270" s="141">
        <f>IF(N270="nulová",J270,0)</f>
        <v>0</v>
      </c>
      <c r="BJ270" s="18" t="s">
        <v>85</v>
      </c>
      <c r="BK270" s="141">
        <f>ROUND(I270*H270,2)</f>
        <v>0</v>
      </c>
      <c r="BL270" s="18" t="s">
        <v>185</v>
      </c>
      <c r="BM270" s="140" t="s">
        <v>2043</v>
      </c>
    </row>
    <row r="271" spans="2:47" s="1" customFormat="1" ht="19.5">
      <c r="B271" s="33"/>
      <c r="D271" s="142" t="s">
        <v>187</v>
      </c>
      <c r="F271" s="143" t="s">
        <v>2042</v>
      </c>
      <c r="I271" s="144"/>
      <c r="L271" s="33"/>
      <c r="M271" s="145"/>
      <c r="T271" s="54"/>
      <c r="AT271" s="18" t="s">
        <v>187</v>
      </c>
      <c r="AU271" s="18" t="s">
        <v>87</v>
      </c>
    </row>
    <row r="272" spans="2:65" s="1" customFormat="1" ht="24.2" customHeight="1">
      <c r="B272" s="128"/>
      <c r="C272" s="129" t="s">
        <v>786</v>
      </c>
      <c r="D272" s="129" t="s">
        <v>180</v>
      </c>
      <c r="E272" s="130" t="s">
        <v>1780</v>
      </c>
      <c r="F272" s="131" t="s">
        <v>1781</v>
      </c>
      <c r="G272" s="132" t="s">
        <v>236</v>
      </c>
      <c r="H272" s="133">
        <v>4</v>
      </c>
      <c r="I272" s="134"/>
      <c r="J272" s="135">
        <f>ROUND(I272*H272,2)</f>
        <v>0</v>
      </c>
      <c r="K272" s="131" t="s">
        <v>184</v>
      </c>
      <c r="L272" s="33"/>
      <c r="M272" s="136" t="s">
        <v>3</v>
      </c>
      <c r="N272" s="137" t="s">
        <v>48</v>
      </c>
      <c r="P272" s="138">
        <f>O272*H272</f>
        <v>0</v>
      </c>
      <c r="Q272" s="138">
        <v>0.54769076</v>
      </c>
      <c r="R272" s="138">
        <f>Q272*H272</f>
        <v>2.19076304</v>
      </c>
      <c r="S272" s="138">
        <v>0</v>
      </c>
      <c r="T272" s="139">
        <f>S272*H272</f>
        <v>0</v>
      </c>
      <c r="AR272" s="140" t="s">
        <v>185</v>
      </c>
      <c r="AT272" s="140" t="s">
        <v>180</v>
      </c>
      <c r="AU272" s="140" t="s">
        <v>87</v>
      </c>
      <c r="AY272" s="18" t="s">
        <v>177</v>
      </c>
      <c r="BE272" s="141">
        <f>IF(N272="základní",J272,0)</f>
        <v>0</v>
      </c>
      <c r="BF272" s="141">
        <f>IF(N272="snížená",J272,0)</f>
        <v>0</v>
      </c>
      <c r="BG272" s="141">
        <f>IF(N272="zákl. přenesená",J272,0)</f>
        <v>0</v>
      </c>
      <c r="BH272" s="141">
        <f>IF(N272="sníž. přenesená",J272,0)</f>
        <v>0</v>
      </c>
      <c r="BI272" s="141">
        <f>IF(N272="nulová",J272,0)</f>
        <v>0</v>
      </c>
      <c r="BJ272" s="18" t="s">
        <v>85</v>
      </c>
      <c r="BK272" s="141">
        <f>ROUND(I272*H272,2)</f>
        <v>0</v>
      </c>
      <c r="BL272" s="18" t="s">
        <v>185</v>
      </c>
      <c r="BM272" s="140" t="s">
        <v>2044</v>
      </c>
    </row>
    <row r="273" spans="2:47" s="1" customFormat="1" ht="29.25">
      <c r="B273" s="33"/>
      <c r="D273" s="142" t="s">
        <v>187</v>
      </c>
      <c r="F273" s="143" t="s">
        <v>1783</v>
      </c>
      <c r="I273" s="144"/>
      <c r="L273" s="33"/>
      <c r="M273" s="145"/>
      <c r="T273" s="54"/>
      <c r="AT273" s="18" t="s">
        <v>187</v>
      </c>
      <c r="AU273" s="18" t="s">
        <v>87</v>
      </c>
    </row>
    <row r="274" spans="2:47" s="1" customFormat="1" ht="11.25">
      <c r="B274" s="33"/>
      <c r="D274" s="146" t="s">
        <v>189</v>
      </c>
      <c r="F274" s="147" t="s">
        <v>1784</v>
      </c>
      <c r="I274" s="144"/>
      <c r="L274" s="33"/>
      <c r="M274" s="145"/>
      <c r="T274" s="54"/>
      <c r="AT274" s="18" t="s">
        <v>189</v>
      </c>
      <c r="AU274" s="18" t="s">
        <v>87</v>
      </c>
    </row>
    <row r="275" spans="2:47" s="1" customFormat="1" ht="146.25">
      <c r="B275" s="33"/>
      <c r="D275" s="142" t="s">
        <v>191</v>
      </c>
      <c r="F275" s="148" t="s">
        <v>1785</v>
      </c>
      <c r="I275" s="144"/>
      <c r="L275" s="33"/>
      <c r="M275" s="145"/>
      <c r="T275" s="54"/>
      <c r="AT275" s="18" t="s">
        <v>191</v>
      </c>
      <c r="AU275" s="18" t="s">
        <v>87</v>
      </c>
    </row>
    <row r="276" spans="2:51" s="12" customFormat="1" ht="11.25">
      <c r="B276" s="149"/>
      <c r="D276" s="142" t="s">
        <v>193</v>
      </c>
      <c r="E276" s="150" t="s">
        <v>3</v>
      </c>
      <c r="F276" s="151" t="s">
        <v>87</v>
      </c>
      <c r="H276" s="152">
        <v>2</v>
      </c>
      <c r="I276" s="153"/>
      <c r="L276" s="149"/>
      <c r="M276" s="154"/>
      <c r="T276" s="155"/>
      <c r="AT276" s="150" t="s">
        <v>193</v>
      </c>
      <c r="AU276" s="150" t="s">
        <v>87</v>
      </c>
      <c r="AV276" s="12" t="s">
        <v>87</v>
      </c>
      <c r="AW276" s="12" t="s">
        <v>36</v>
      </c>
      <c r="AX276" s="12" t="s">
        <v>77</v>
      </c>
      <c r="AY276" s="150" t="s">
        <v>177</v>
      </c>
    </row>
    <row r="277" spans="2:51" s="13" customFormat="1" ht="11.25">
      <c r="B277" s="156"/>
      <c r="D277" s="142" t="s">
        <v>193</v>
      </c>
      <c r="E277" s="157" t="s">
        <v>3</v>
      </c>
      <c r="F277" s="158" t="s">
        <v>1786</v>
      </c>
      <c r="H277" s="157" t="s">
        <v>3</v>
      </c>
      <c r="I277" s="159"/>
      <c r="L277" s="156"/>
      <c r="M277" s="160"/>
      <c r="T277" s="161"/>
      <c r="AT277" s="157" t="s">
        <v>193</v>
      </c>
      <c r="AU277" s="157" t="s">
        <v>87</v>
      </c>
      <c r="AV277" s="13" t="s">
        <v>85</v>
      </c>
      <c r="AW277" s="13" t="s">
        <v>36</v>
      </c>
      <c r="AX277" s="13" t="s">
        <v>77</v>
      </c>
      <c r="AY277" s="157" t="s">
        <v>177</v>
      </c>
    </row>
    <row r="278" spans="2:51" s="12" customFormat="1" ht="11.25">
      <c r="B278" s="149"/>
      <c r="D278" s="142" t="s">
        <v>193</v>
      </c>
      <c r="E278" s="150" t="s">
        <v>3</v>
      </c>
      <c r="F278" s="151" t="s">
        <v>87</v>
      </c>
      <c r="H278" s="152">
        <v>2</v>
      </c>
      <c r="I278" s="153"/>
      <c r="L278" s="149"/>
      <c r="M278" s="154"/>
      <c r="T278" s="155"/>
      <c r="AT278" s="150" t="s">
        <v>193</v>
      </c>
      <c r="AU278" s="150" t="s">
        <v>87</v>
      </c>
      <c r="AV278" s="12" t="s">
        <v>87</v>
      </c>
      <c r="AW278" s="12" t="s">
        <v>36</v>
      </c>
      <c r="AX278" s="12" t="s">
        <v>77</v>
      </c>
      <c r="AY278" s="150" t="s">
        <v>177</v>
      </c>
    </row>
    <row r="279" spans="2:51" s="15" customFormat="1" ht="11.25">
      <c r="B279" s="169"/>
      <c r="D279" s="142" t="s">
        <v>193</v>
      </c>
      <c r="E279" s="170" t="s">
        <v>3</v>
      </c>
      <c r="F279" s="171" t="s">
        <v>201</v>
      </c>
      <c r="H279" s="172">
        <v>4</v>
      </c>
      <c r="I279" s="173"/>
      <c r="L279" s="169"/>
      <c r="M279" s="174"/>
      <c r="T279" s="175"/>
      <c r="AT279" s="170" t="s">
        <v>193</v>
      </c>
      <c r="AU279" s="170" t="s">
        <v>87</v>
      </c>
      <c r="AV279" s="15" t="s">
        <v>185</v>
      </c>
      <c r="AW279" s="15" t="s">
        <v>36</v>
      </c>
      <c r="AX279" s="15" t="s">
        <v>85</v>
      </c>
      <c r="AY279" s="170" t="s">
        <v>177</v>
      </c>
    </row>
    <row r="280" spans="2:65" s="1" customFormat="1" ht="37.9" customHeight="1">
      <c r="B280" s="128"/>
      <c r="C280" s="179" t="s">
        <v>793</v>
      </c>
      <c r="D280" s="179" t="s">
        <v>484</v>
      </c>
      <c r="E280" s="180" t="s">
        <v>1787</v>
      </c>
      <c r="F280" s="181" t="s">
        <v>1788</v>
      </c>
      <c r="G280" s="182" t="s">
        <v>236</v>
      </c>
      <c r="H280" s="183">
        <v>2</v>
      </c>
      <c r="I280" s="184"/>
      <c r="J280" s="185">
        <f>ROUND(I280*H280,2)</f>
        <v>0</v>
      </c>
      <c r="K280" s="181" t="s">
        <v>244</v>
      </c>
      <c r="L280" s="186"/>
      <c r="M280" s="187" t="s">
        <v>3</v>
      </c>
      <c r="N280" s="188" t="s">
        <v>48</v>
      </c>
      <c r="P280" s="138">
        <f>O280*H280</f>
        <v>0</v>
      </c>
      <c r="Q280" s="138">
        <v>0.029</v>
      </c>
      <c r="R280" s="138">
        <f>Q280*H280</f>
        <v>0.058</v>
      </c>
      <c r="S280" s="138">
        <v>0</v>
      </c>
      <c r="T280" s="139">
        <f>S280*H280</f>
        <v>0</v>
      </c>
      <c r="AR280" s="140" t="s">
        <v>248</v>
      </c>
      <c r="AT280" s="140" t="s">
        <v>484</v>
      </c>
      <c r="AU280" s="140" t="s">
        <v>87</v>
      </c>
      <c r="AY280" s="18" t="s">
        <v>177</v>
      </c>
      <c r="BE280" s="141">
        <f>IF(N280="základní",J280,0)</f>
        <v>0</v>
      </c>
      <c r="BF280" s="141">
        <f>IF(N280="snížená",J280,0)</f>
        <v>0</v>
      </c>
      <c r="BG280" s="141">
        <f>IF(N280="zákl. přenesená",J280,0)</f>
        <v>0</v>
      </c>
      <c r="BH280" s="141">
        <f>IF(N280="sníž. přenesená",J280,0)</f>
        <v>0</v>
      </c>
      <c r="BI280" s="141">
        <f>IF(N280="nulová",J280,0)</f>
        <v>0</v>
      </c>
      <c r="BJ280" s="18" t="s">
        <v>85</v>
      </c>
      <c r="BK280" s="141">
        <f>ROUND(I280*H280,2)</f>
        <v>0</v>
      </c>
      <c r="BL280" s="18" t="s">
        <v>185</v>
      </c>
      <c r="BM280" s="140" t="s">
        <v>2045</v>
      </c>
    </row>
    <row r="281" spans="2:47" s="1" customFormat="1" ht="19.5">
      <c r="B281" s="33"/>
      <c r="D281" s="142" t="s">
        <v>187</v>
      </c>
      <c r="F281" s="143" t="s">
        <v>1790</v>
      </c>
      <c r="I281" s="144"/>
      <c r="L281" s="33"/>
      <c r="M281" s="145"/>
      <c r="T281" s="54"/>
      <c r="AT281" s="18" t="s">
        <v>187</v>
      </c>
      <c r="AU281" s="18" t="s">
        <v>87</v>
      </c>
    </row>
    <row r="282" spans="2:63" s="11" customFormat="1" ht="22.9" customHeight="1">
      <c r="B282" s="116"/>
      <c r="D282" s="117" t="s">
        <v>76</v>
      </c>
      <c r="E282" s="126" t="s">
        <v>252</v>
      </c>
      <c r="F282" s="126" t="s">
        <v>329</v>
      </c>
      <c r="I282" s="119"/>
      <c r="J282" s="127">
        <f>BK282</f>
        <v>0</v>
      </c>
      <c r="L282" s="116"/>
      <c r="M282" s="121"/>
      <c r="P282" s="122">
        <f>SUM(P283:P305)</f>
        <v>0</v>
      </c>
      <c r="R282" s="122">
        <f>SUM(R283:R305)</f>
        <v>0.055526903999999995</v>
      </c>
      <c r="T282" s="123">
        <f>SUM(T283:T305)</f>
        <v>0.683</v>
      </c>
      <c r="AR282" s="117" t="s">
        <v>85</v>
      </c>
      <c r="AT282" s="124" t="s">
        <v>76</v>
      </c>
      <c r="AU282" s="124" t="s">
        <v>85</v>
      </c>
      <c r="AY282" s="117" t="s">
        <v>177</v>
      </c>
      <c r="BK282" s="125">
        <f>SUM(BK283:BK305)</f>
        <v>0</v>
      </c>
    </row>
    <row r="283" spans="2:65" s="1" customFormat="1" ht="33" customHeight="1">
      <c r="B283" s="128"/>
      <c r="C283" s="129" t="s">
        <v>799</v>
      </c>
      <c r="D283" s="129" t="s">
        <v>180</v>
      </c>
      <c r="E283" s="130" t="s">
        <v>681</v>
      </c>
      <c r="F283" s="131" t="s">
        <v>682</v>
      </c>
      <c r="G283" s="132" t="s">
        <v>332</v>
      </c>
      <c r="H283" s="133">
        <v>328.8</v>
      </c>
      <c r="I283" s="134"/>
      <c r="J283" s="135">
        <f>ROUND(I283*H283,2)</f>
        <v>0</v>
      </c>
      <c r="K283" s="131" t="s">
        <v>184</v>
      </c>
      <c r="L283" s="33"/>
      <c r="M283" s="136" t="s">
        <v>3</v>
      </c>
      <c r="N283" s="137" t="s">
        <v>48</v>
      </c>
      <c r="P283" s="138">
        <f>O283*H283</f>
        <v>0</v>
      </c>
      <c r="Q283" s="138">
        <v>0.00013</v>
      </c>
      <c r="R283" s="138">
        <f>Q283*H283</f>
        <v>0.042744</v>
      </c>
      <c r="S283" s="138">
        <v>0</v>
      </c>
      <c r="T283" s="139">
        <f>S283*H283</f>
        <v>0</v>
      </c>
      <c r="AR283" s="140" t="s">
        <v>185</v>
      </c>
      <c r="AT283" s="140" t="s">
        <v>180</v>
      </c>
      <c r="AU283" s="140" t="s">
        <v>87</v>
      </c>
      <c r="AY283" s="18" t="s">
        <v>177</v>
      </c>
      <c r="BE283" s="141">
        <f>IF(N283="základní",J283,0)</f>
        <v>0</v>
      </c>
      <c r="BF283" s="141">
        <f>IF(N283="snížená",J283,0)</f>
        <v>0</v>
      </c>
      <c r="BG283" s="141">
        <f>IF(N283="zákl. přenesená",J283,0)</f>
        <v>0</v>
      </c>
      <c r="BH283" s="141">
        <f>IF(N283="sníž. přenesená",J283,0)</f>
        <v>0</v>
      </c>
      <c r="BI283" s="141">
        <f>IF(N283="nulová",J283,0)</f>
        <v>0</v>
      </c>
      <c r="BJ283" s="18" t="s">
        <v>85</v>
      </c>
      <c r="BK283" s="141">
        <f>ROUND(I283*H283,2)</f>
        <v>0</v>
      </c>
      <c r="BL283" s="18" t="s">
        <v>185</v>
      </c>
      <c r="BM283" s="140" t="s">
        <v>2046</v>
      </c>
    </row>
    <row r="284" spans="2:47" s="1" customFormat="1" ht="19.5">
      <c r="B284" s="33"/>
      <c r="D284" s="142" t="s">
        <v>187</v>
      </c>
      <c r="F284" s="143" t="s">
        <v>684</v>
      </c>
      <c r="I284" s="144"/>
      <c r="L284" s="33"/>
      <c r="M284" s="145"/>
      <c r="T284" s="54"/>
      <c r="AT284" s="18" t="s">
        <v>187</v>
      </c>
      <c r="AU284" s="18" t="s">
        <v>87</v>
      </c>
    </row>
    <row r="285" spans="2:47" s="1" customFormat="1" ht="11.25">
      <c r="B285" s="33"/>
      <c r="D285" s="146" t="s">
        <v>189</v>
      </c>
      <c r="F285" s="147" t="s">
        <v>685</v>
      </c>
      <c r="I285" s="144"/>
      <c r="L285" s="33"/>
      <c r="M285" s="145"/>
      <c r="T285" s="54"/>
      <c r="AT285" s="18" t="s">
        <v>189</v>
      </c>
      <c r="AU285" s="18" t="s">
        <v>87</v>
      </c>
    </row>
    <row r="286" spans="2:47" s="1" customFormat="1" ht="78">
      <c r="B286" s="33"/>
      <c r="D286" s="142" t="s">
        <v>191</v>
      </c>
      <c r="F286" s="148" t="s">
        <v>336</v>
      </c>
      <c r="I286" s="144"/>
      <c r="L286" s="33"/>
      <c r="M286" s="145"/>
      <c r="T286" s="54"/>
      <c r="AT286" s="18" t="s">
        <v>191</v>
      </c>
      <c r="AU286" s="18" t="s">
        <v>87</v>
      </c>
    </row>
    <row r="287" spans="2:51" s="12" customFormat="1" ht="11.25">
      <c r="B287" s="149"/>
      <c r="D287" s="142" t="s">
        <v>193</v>
      </c>
      <c r="E287" s="150" t="s">
        <v>3</v>
      </c>
      <c r="F287" s="151" t="s">
        <v>993</v>
      </c>
      <c r="H287" s="152">
        <v>328.8</v>
      </c>
      <c r="I287" s="153"/>
      <c r="L287" s="149"/>
      <c r="M287" s="154"/>
      <c r="T287" s="155"/>
      <c r="AT287" s="150" t="s">
        <v>193</v>
      </c>
      <c r="AU287" s="150" t="s">
        <v>87</v>
      </c>
      <c r="AV287" s="12" t="s">
        <v>87</v>
      </c>
      <c r="AW287" s="12" t="s">
        <v>36</v>
      </c>
      <c r="AX287" s="12" t="s">
        <v>77</v>
      </c>
      <c r="AY287" s="150" t="s">
        <v>177</v>
      </c>
    </row>
    <row r="288" spans="2:51" s="15" customFormat="1" ht="11.25">
      <c r="B288" s="169"/>
      <c r="D288" s="142" t="s">
        <v>193</v>
      </c>
      <c r="E288" s="170" t="s">
        <v>3</v>
      </c>
      <c r="F288" s="171" t="s">
        <v>201</v>
      </c>
      <c r="H288" s="172">
        <v>328.8</v>
      </c>
      <c r="I288" s="173"/>
      <c r="L288" s="169"/>
      <c r="M288" s="174"/>
      <c r="T288" s="175"/>
      <c r="AT288" s="170" t="s">
        <v>193</v>
      </c>
      <c r="AU288" s="170" t="s">
        <v>87</v>
      </c>
      <c r="AV288" s="15" t="s">
        <v>185</v>
      </c>
      <c r="AW288" s="15" t="s">
        <v>36</v>
      </c>
      <c r="AX288" s="15" t="s">
        <v>85</v>
      </c>
      <c r="AY288" s="170" t="s">
        <v>177</v>
      </c>
    </row>
    <row r="289" spans="2:65" s="1" customFormat="1" ht="24.2" customHeight="1">
      <c r="B289" s="128"/>
      <c r="C289" s="129" t="s">
        <v>1115</v>
      </c>
      <c r="D289" s="129" t="s">
        <v>180</v>
      </c>
      <c r="E289" s="130" t="s">
        <v>339</v>
      </c>
      <c r="F289" s="131" t="s">
        <v>340</v>
      </c>
      <c r="G289" s="132" t="s">
        <v>332</v>
      </c>
      <c r="H289" s="133">
        <v>328.8</v>
      </c>
      <c r="I289" s="134"/>
      <c r="J289" s="135">
        <f>ROUND(I289*H289,2)</f>
        <v>0</v>
      </c>
      <c r="K289" s="131" t="s">
        <v>184</v>
      </c>
      <c r="L289" s="33"/>
      <c r="M289" s="136" t="s">
        <v>3</v>
      </c>
      <c r="N289" s="137" t="s">
        <v>48</v>
      </c>
      <c r="P289" s="138">
        <f>O289*H289</f>
        <v>0</v>
      </c>
      <c r="Q289" s="138">
        <v>3.5E-05</v>
      </c>
      <c r="R289" s="138">
        <f>Q289*H289</f>
        <v>0.011508</v>
      </c>
      <c r="S289" s="138">
        <v>0</v>
      </c>
      <c r="T289" s="139">
        <f>S289*H289</f>
        <v>0</v>
      </c>
      <c r="AR289" s="140" t="s">
        <v>185</v>
      </c>
      <c r="AT289" s="140" t="s">
        <v>180</v>
      </c>
      <c r="AU289" s="140" t="s">
        <v>87</v>
      </c>
      <c r="AY289" s="18" t="s">
        <v>177</v>
      </c>
      <c r="BE289" s="141">
        <f>IF(N289="základní",J289,0)</f>
        <v>0</v>
      </c>
      <c r="BF289" s="141">
        <f>IF(N289="snížená",J289,0)</f>
        <v>0</v>
      </c>
      <c r="BG289" s="141">
        <f>IF(N289="zákl. přenesená",J289,0)</f>
        <v>0</v>
      </c>
      <c r="BH289" s="141">
        <f>IF(N289="sníž. přenesená",J289,0)</f>
        <v>0</v>
      </c>
      <c r="BI289" s="141">
        <f>IF(N289="nulová",J289,0)</f>
        <v>0</v>
      </c>
      <c r="BJ289" s="18" t="s">
        <v>85</v>
      </c>
      <c r="BK289" s="141">
        <f>ROUND(I289*H289,2)</f>
        <v>0</v>
      </c>
      <c r="BL289" s="18" t="s">
        <v>185</v>
      </c>
      <c r="BM289" s="140" t="s">
        <v>2047</v>
      </c>
    </row>
    <row r="290" spans="2:47" s="1" customFormat="1" ht="19.5">
      <c r="B290" s="33"/>
      <c r="D290" s="142" t="s">
        <v>187</v>
      </c>
      <c r="F290" s="143" t="s">
        <v>342</v>
      </c>
      <c r="I290" s="144"/>
      <c r="L290" s="33"/>
      <c r="M290" s="145"/>
      <c r="T290" s="54"/>
      <c r="AT290" s="18" t="s">
        <v>187</v>
      </c>
      <c r="AU290" s="18" t="s">
        <v>87</v>
      </c>
    </row>
    <row r="291" spans="2:47" s="1" customFormat="1" ht="11.25">
      <c r="B291" s="33"/>
      <c r="D291" s="146" t="s">
        <v>189</v>
      </c>
      <c r="F291" s="147" t="s">
        <v>343</v>
      </c>
      <c r="I291" s="144"/>
      <c r="L291" s="33"/>
      <c r="M291" s="145"/>
      <c r="T291" s="54"/>
      <c r="AT291" s="18" t="s">
        <v>189</v>
      </c>
      <c r="AU291" s="18" t="s">
        <v>87</v>
      </c>
    </row>
    <row r="292" spans="2:47" s="1" customFormat="1" ht="273">
      <c r="B292" s="33"/>
      <c r="D292" s="142" t="s">
        <v>191</v>
      </c>
      <c r="F292" s="148" t="s">
        <v>344</v>
      </c>
      <c r="I292" s="144"/>
      <c r="L292" s="33"/>
      <c r="M292" s="145"/>
      <c r="T292" s="54"/>
      <c r="AT292" s="18" t="s">
        <v>191</v>
      </c>
      <c r="AU292" s="18" t="s">
        <v>87</v>
      </c>
    </row>
    <row r="293" spans="2:65" s="1" customFormat="1" ht="24.2" customHeight="1">
      <c r="B293" s="128"/>
      <c r="C293" s="129" t="s">
        <v>1117</v>
      </c>
      <c r="D293" s="129" t="s">
        <v>180</v>
      </c>
      <c r="E293" s="130" t="s">
        <v>2048</v>
      </c>
      <c r="F293" s="131" t="s">
        <v>2049</v>
      </c>
      <c r="G293" s="132" t="s">
        <v>236</v>
      </c>
      <c r="H293" s="133">
        <v>6</v>
      </c>
      <c r="I293" s="134"/>
      <c r="J293" s="135">
        <f>ROUND(I293*H293,2)</f>
        <v>0</v>
      </c>
      <c r="K293" s="131" t="s">
        <v>184</v>
      </c>
      <c r="L293" s="33"/>
      <c r="M293" s="136" t="s">
        <v>3</v>
      </c>
      <c r="N293" s="137" t="s">
        <v>48</v>
      </c>
      <c r="P293" s="138">
        <f>O293*H293</f>
        <v>0</v>
      </c>
      <c r="Q293" s="138">
        <v>4.2484E-05</v>
      </c>
      <c r="R293" s="138">
        <f>Q293*H293</f>
        <v>0.000254904</v>
      </c>
      <c r="S293" s="138">
        <v>0</v>
      </c>
      <c r="T293" s="139">
        <f>S293*H293</f>
        <v>0</v>
      </c>
      <c r="AR293" s="140" t="s">
        <v>185</v>
      </c>
      <c r="AT293" s="140" t="s">
        <v>180</v>
      </c>
      <c r="AU293" s="140" t="s">
        <v>87</v>
      </c>
      <c r="AY293" s="18" t="s">
        <v>177</v>
      </c>
      <c r="BE293" s="141">
        <f>IF(N293="základní",J293,0)</f>
        <v>0</v>
      </c>
      <c r="BF293" s="141">
        <f>IF(N293="snížená",J293,0)</f>
        <v>0</v>
      </c>
      <c r="BG293" s="141">
        <f>IF(N293="zákl. přenesená",J293,0)</f>
        <v>0</v>
      </c>
      <c r="BH293" s="141">
        <f>IF(N293="sníž. přenesená",J293,0)</f>
        <v>0</v>
      </c>
      <c r="BI293" s="141">
        <f>IF(N293="nulová",J293,0)</f>
        <v>0</v>
      </c>
      <c r="BJ293" s="18" t="s">
        <v>85</v>
      </c>
      <c r="BK293" s="141">
        <f>ROUND(I293*H293,2)</f>
        <v>0</v>
      </c>
      <c r="BL293" s="18" t="s">
        <v>185</v>
      </c>
      <c r="BM293" s="140" t="s">
        <v>2050</v>
      </c>
    </row>
    <row r="294" spans="2:47" s="1" customFormat="1" ht="19.5">
      <c r="B294" s="33"/>
      <c r="D294" s="142" t="s">
        <v>187</v>
      </c>
      <c r="F294" s="143" t="s">
        <v>2051</v>
      </c>
      <c r="I294" s="144"/>
      <c r="L294" s="33"/>
      <c r="M294" s="145"/>
      <c r="T294" s="54"/>
      <c r="AT294" s="18" t="s">
        <v>187</v>
      </c>
      <c r="AU294" s="18" t="s">
        <v>87</v>
      </c>
    </row>
    <row r="295" spans="2:47" s="1" customFormat="1" ht="11.25">
      <c r="B295" s="33"/>
      <c r="D295" s="146" t="s">
        <v>189</v>
      </c>
      <c r="F295" s="147" t="s">
        <v>2052</v>
      </c>
      <c r="I295" s="144"/>
      <c r="L295" s="33"/>
      <c r="M295" s="145"/>
      <c r="T295" s="54"/>
      <c r="AT295" s="18" t="s">
        <v>189</v>
      </c>
      <c r="AU295" s="18" t="s">
        <v>87</v>
      </c>
    </row>
    <row r="296" spans="2:47" s="1" customFormat="1" ht="117">
      <c r="B296" s="33"/>
      <c r="D296" s="142" t="s">
        <v>191</v>
      </c>
      <c r="F296" s="148" t="s">
        <v>2053</v>
      </c>
      <c r="I296" s="144"/>
      <c r="L296" s="33"/>
      <c r="M296" s="145"/>
      <c r="T296" s="54"/>
      <c r="AT296" s="18" t="s">
        <v>191</v>
      </c>
      <c r="AU296" s="18" t="s">
        <v>87</v>
      </c>
    </row>
    <row r="297" spans="2:65" s="1" customFormat="1" ht="21.75" customHeight="1">
      <c r="B297" s="128"/>
      <c r="C297" s="129" t="s">
        <v>1124</v>
      </c>
      <c r="D297" s="129" t="s">
        <v>180</v>
      </c>
      <c r="E297" s="130" t="s">
        <v>2054</v>
      </c>
      <c r="F297" s="131" t="s">
        <v>2055</v>
      </c>
      <c r="G297" s="132" t="s">
        <v>236</v>
      </c>
      <c r="H297" s="133">
        <v>6</v>
      </c>
      <c r="I297" s="134"/>
      <c r="J297" s="135">
        <f>ROUND(I297*H297,2)</f>
        <v>0</v>
      </c>
      <c r="K297" s="131" t="s">
        <v>184</v>
      </c>
      <c r="L297" s="33"/>
      <c r="M297" s="136" t="s">
        <v>3</v>
      </c>
      <c r="N297" s="137" t="s">
        <v>48</v>
      </c>
      <c r="P297" s="138">
        <f>O297*H297</f>
        <v>0</v>
      </c>
      <c r="Q297" s="138">
        <v>0.00017</v>
      </c>
      <c r="R297" s="138">
        <f>Q297*H297</f>
        <v>0.00102</v>
      </c>
      <c r="S297" s="138">
        <v>0</v>
      </c>
      <c r="T297" s="139">
        <f>S297*H297</f>
        <v>0</v>
      </c>
      <c r="AR297" s="140" t="s">
        <v>185</v>
      </c>
      <c r="AT297" s="140" t="s">
        <v>180</v>
      </c>
      <c r="AU297" s="140" t="s">
        <v>87</v>
      </c>
      <c r="AY297" s="18" t="s">
        <v>177</v>
      </c>
      <c r="BE297" s="141">
        <f>IF(N297="základní",J297,0)</f>
        <v>0</v>
      </c>
      <c r="BF297" s="141">
        <f>IF(N297="snížená",J297,0)</f>
        <v>0</v>
      </c>
      <c r="BG297" s="141">
        <f>IF(N297="zákl. přenesená",J297,0)</f>
        <v>0</v>
      </c>
      <c r="BH297" s="141">
        <f>IF(N297="sníž. přenesená",J297,0)</f>
        <v>0</v>
      </c>
      <c r="BI297" s="141">
        <f>IF(N297="nulová",J297,0)</f>
        <v>0</v>
      </c>
      <c r="BJ297" s="18" t="s">
        <v>85</v>
      </c>
      <c r="BK297" s="141">
        <f>ROUND(I297*H297,2)</f>
        <v>0</v>
      </c>
      <c r="BL297" s="18" t="s">
        <v>185</v>
      </c>
      <c r="BM297" s="140" t="s">
        <v>2056</v>
      </c>
    </row>
    <row r="298" spans="2:47" s="1" customFormat="1" ht="19.5">
      <c r="B298" s="33"/>
      <c r="D298" s="142" t="s">
        <v>187</v>
      </c>
      <c r="F298" s="143" t="s">
        <v>2057</v>
      </c>
      <c r="I298" s="144"/>
      <c r="L298" s="33"/>
      <c r="M298" s="145"/>
      <c r="T298" s="54"/>
      <c r="AT298" s="18" t="s">
        <v>187</v>
      </c>
      <c r="AU298" s="18" t="s">
        <v>87</v>
      </c>
    </row>
    <row r="299" spans="2:47" s="1" customFormat="1" ht="11.25">
      <c r="B299" s="33"/>
      <c r="D299" s="146" t="s">
        <v>189</v>
      </c>
      <c r="F299" s="147" t="s">
        <v>2058</v>
      </c>
      <c r="I299" s="144"/>
      <c r="L299" s="33"/>
      <c r="M299" s="145"/>
      <c r="T299" s="54"/>
      <c r="AT299" s="18" t="s">
        <v>189</v>
      </c>
      <c r="AU299" s="18" t="s">
        <v>87</v>
      </c>
    </row>
    <row r="300" spans="2:47" s="1" customFormat="1" ht="117">
      <c r="B300" s="33"/>
      <c r="D300" s="142" t="s">
        <v>191</v>
      </c>
      <c r="F300" s="148" t="s">
        <v>2053</v>
      </c>
      <c r="I300" s="144"/>
      <c r="L300" s="33"/>
      <c r="M300" s="145"/>
      <c r="T300" s="54"/>
      <c r="AT300" s="18" t="s">
        <v>191</v>
      </c>
      <c r="AU300" s="18" t="s">
        <v>87</v>
      </c>
    </row>
    <row r="301" spans="2:65" s="1" customFormat="1" ht="24.2" customHeight="1">
      <c r="B301" s="128"/>
      <c r="C301" s="129" t="s">
        <v>1130</v>
      </c>
      <c r="D301" s="129" t="s">
        <v>180</v>
      </c>
      <c r="E301" s="130" t="s">
        <v>2059</v>
      </c>
      <c r="F301" s="131" t="s">
        <v>2060</v>
      </c>
      <c r="G301" s="132" t="s">
        <v>476</v>
      </c>
      <c r="H301" s="133">
        <v>13.66</v>
      </c>
      <c r="I301" s="134"/>
      <c r="J301" s="135">
        <f>ROUND(I301*H301,2)</f>
        <v>0</v>
      </c>
      <c r="K301" s="131" t="s">
        <v>184</v>
      </c>
      <c r="L301" s="33"/>
      <c r="M301" s="136" t="s">
        <v>3</v>
      </c>
      <c r="N301" s="137" t="s">
        <v>48</v>
      </c>
      <c r="P301" s="138">
        <f>O301*H301</f>
        <v>0</v>
      </c>
      <c r="Q301" s="138">
        <v>0</v>
      </c>
      <c r="R301" s="138">
        <f>Q301*H301</f>
        <v>0</v>
      </c>
      <c r="S301" s="138">
        <v>0.05</v>
      </c>
      <c r="T301" s="139">
        <f>S301*H301</f>
        <v>0.683</v>
      </c>
      <c r="AR301" s="140" t="s">
        <v>185</v>
      </c>
      <c r="AT301" s="140" t="s">
        <v>180</v>
      </c>
      <c r="AU301" s="140" t="s">
        <v>87</v>
      </c>
      <c r="AY301" s="18" t="s">
        <v>177</v>
      </c>
      <c r="BE301" s="141">
        <f>IF(N301="základní",J301,0)</f>
        <v>0</v>
      </c>
      <c r="BF301" s="141">
        <f>IF(N301="snížená",J301,0)</f>
        <v>0</v>
      </c>
      <c r="BG301" s="141">
        <f>IF(N301="zákl. přenesená",J301,0)</f>
        <v>0</v>
      </c>
      <c r="BH301" s="141">
        <f>IF(N301="sníž. přenesená",J301,0)</f>
        <v>0</v>
      </c>
      <c r="BI301" s="141">
        <f>IF(N301="nulová",J301,0)</f>
        <v>0</v>
      </c>
      <c r="BJ301" s="18" t="s">
        <v>85</v>
      </c>
      <c r="BK301" s="141">
        <f>ROUND(I301*H301,2)</f>
        <v>0</v>
      </c>
      <c r="BL301" s="18" t="s">
        <v>185</v>
      </c>
      <c r="BM301" s="140" t="s">
        <v>2061</v>
      </c>
    </row>
    <row r="302" spans="2:47" s="1" customFormat="1" ht="19.5">
      <c r="B302" s="33"/>
      <c r="D302" s="142" t="s">
        <v>187</v>
      </c>
      <c r="F302" s="143" t="s">
        <v>2062</v>
      </c>
      <c r="I302" s="144"/>
      <c r="L302" s="33"/>
      <c r="M302" s="145"/>
      <c r="T302" s="54"/>
      <c r="AT302" s="18" t="s">
        <v>187</v>
      </c>
      <c r="AU302" s="18" t="s">
        <v>87</v>
      </c>
    </row>
    <row r="303" spans="2:47" s="1" customFormat="1" ht="11.25">
      <c r="B303" s="33"/>
      <c r="D303" s="146" t="s">
        <v>189</v>
      </c>
      <c r="F303" s="147" t="s">
        <v>2063</v>
      </c>
      <c r="I303" s="144"/>
      <c r="L303" s="33"/>
      <c r="M303" s="145"/>
      <c r="T303" s="54"/>
      <c r="AT303" s="18" t="s">
        <v>189</v>
      </c>
      <c r="AU303" s="18" t="s">
        <v>87</v>
      </c>
    </row>
    <row r="304" spans="2:51" s="13" customFormat="1" ht="11.25">
      <c r="B304" s="156"/>
      <c r="D304" s="142" t="s">
        <v>193</v>
      </c>
      <c r="E304" s="157" t="s">
        <v>3</v>
      </c>
      <c r="F304" s="158" t="s">
        <v>2064</v>
      </c>
      <c r="H304" s="157" t="s">
        <v>3</v>
      </c>
      <c r="I304" s="159"/>
      <c r="L304" s="156"/>
      <c r="M304" s="160"/>
      <c r="T304" s="161"/>
      <c r="AT304" s="157" t="s">
        <v>193</v>
      </c>
      <c r="AU304" s="157" t="s">
        <v>87</v>
      </c>
      <c r="AV304" s="13" t="s">
        <v>85</v>
      </c>
      <c r="AW304" s="13" t="s">
        <v>36</v>
      </c>
      <c r="AX304" s="13" t="s">
        <v>77</v>
      </c>
      <c r="AY304" s="157" t="s">
        <v>177</v>
      </c>
    </row>
    <row r="305" spans="2:51" s="12" customFormat="1" ht="11.25">
      <c r="B305" s="149"/>
      <c r="D305" s="142" t="s">
        <v>193</v>
      </c>
      <c r="E305" s="150" t="s">
        <v>3</v>
      </c>
      <c r="F305" s="151" t="s">
        <v>2065</v>
      </c>
      <c r="H305" s="152">
        <v>13.66</v>
      </c>
      <c r="I305" s="153"/>
      <c r="L305" s="149"/>
      <c r="M305" s="154"/>
      <c r="T305" s="155"/>
      <c r="AT305" s="150" t="s">
        <v>193</v>
      </c>
      <c r="AU305" s="150" t="s">
        <v>87</v>
      </c>
      <c r="AV305" s="12" t="s">
        <v>87</v>
      </c>
      <c r="AW305" s="12" t="s">
        <v>36</v>
      </c>
      <c r="AX305" s="12" t="s">
        <v>85</v>
      </c>
      <c r="AY305" s="150" t="s">
        <v>177</v>
      </c>
    </row>
    <row r="306" spans="2:63" s="11" customFormat="1" ht="22.9" customHeight="1">
      <c r="B306" s="116"/>
      <c r="D306" s="117" t="s">
        <v>76</v>
      </c>
      <c r="E306" s="126" t="s">
        <v>178</v>
      </c>
      <c r="F306" s="126" t="s">
        <v>179</v>
      </c>
      <c r="I306" s="119"/>
      <c r="J306" s="127">
        <f>BK306</f>
        <v>0</v>
      </c>
      <c r="L306" s="116"/>
      <c r="M306" s="121"/>
      <c r="P306" s="122">
        <f>SUM(P307:P328)</f>
        <v>0</v>
      </c>
      <c r="R306" s="122">
        <f>SUM(R307:R328)</f>
        <v>0</v>
      </c>
      <c r="T306" s="123">
        <f>SUM(T307:T328)</f>
        <v>0</v>
      </c>
      <c r="AR306" s="117" t="s">
        <v>85</v>
      </c>
      <c r="AT306" s="124" t="s">
        <v>76</v>
      </c>
      <c r="AU306" s="124" t="s">
        <v>85</v>
      </c>
      <c r="AY306" s="117" t="s">
        <v>177</v>
      </c>
      <c r="BK306" s="125">
        <f>SUM(BK307:BK328)</f>
        <v>0</v>
      </c>
    </row>
    <row r="307" spans="2:65" s="1" customFormat="1" ht="24.2" customHeight="1">
      <c r="B307" s="128"/>
      <c r="C307" s="129" t="s">
        <v>1132</v>
      </c>
      <c r="D307" s="129" t="s">
        <v>180</v>
      </c>
      <c r="E307" s="130" t="s">
        <v>181</v>
      </c>
      <c r="F307" s="131" t="s">
        <v>182</v>
      </c>
      <c r="G307" s="132" t="s">
        <v>183</v>
      </c>
      <c r="H307" s="133">
        <v>0.683</v>
      </c>
      <c r="I307" s="134"/>
      <c r="J307" s="135">
        <f>ROUND(I307*H307,2)</f>
        <v>0</v>
      </c>
      <c r="K307" s="131" t="s">
        <v>184</v>
      </c>
      <c r="L307" s="33"/>
      <c r="M307" s="136" t="s">
        <v>3</v>
      </c>
      <c r="N307" s="137" t="s">
        <v>48</v>
      </c>
      <c r="P307" s="138">
        <f>O307*H307</f>
        <v>0</v>
      </c>
      <c r="Q307" s="138">
        <v>0</v>
      </c>
      <c r="R307" s="138">
        <f>Q307*H307</f>
        <v>0</v>
      </c>
      <c r="S307" s="138">
        <v>0</v>
      </c>
      <c r="T307" s="139">
        <f>S307*H307</f>
        <v>0</v>
      </c>
      <c r="AR307" s="140" t="s">
        <v>185</v>
      </c>
      <c r="AT307" s="140" t="s">
        <v>180</v>
      </c>
      <c r="AU307" s="140" t="s">
        <v>87</v>
      </c>
      <c r="AY307" s="18" t="s">
        <v>177</v>
      </c>
      <c r="BE307" s="141">
        <f>IF(N307="základní",J307,0)</f>
        <v>0</v>
      </c>
      <c r="BF307" s="141">
        <f>IF(N307="snížená",J307,0)</f>
        <v>0</v>
      </c>
      <c r="BG307" s="141">
        <f>IF(N307="zákl. přenesená",J307,0)</f>
        <v>0</v>
      </c>
      <c r="BH307" s="141">
        <f>IF(N307="sníž. přenesená",J307,0)</f>
        <v>0</v>
      </c>
      <c r="BI307" s="141">
        <f>IF(N307="nulová",J307,0)</f>
        <v>0</v>
      </c>
      <c r="BJ307" s="18" t="s">
        <v>85</v>
      </c>
      <c r="BK307" s="141">
        <f>ROUND(I307*H307,2)</f>
        <v>0</v>
      </c>
      <c r="BL307" s="18" t="s">
        <v>185</v>
      </c>
      <c r="BM307" s="140" t="s">
        <v>2066</v>
      </c>
    </row>
    <row r="308" spans="2:47" s="1" customFormat="1" ht="19.5">
      <c r="B308" s="33"/>
      <c r="D308" s="142" t="s">
        <v>187</v>
      </c>
      <c r="F308" s="143" t="s">
        <v>188</v>
      </c>
      <c r="I308" s="144"/>
      <c r="L308" s="33"/>
      <c r="M308" s="145"/>
      <c r="T308" s="54"/>
      <c r="AT308" s="18" t="s">
        <v>187</v>
      </c>
      <c r="AU308" s="18" t="s">
        <v>87</v>
      </c>
    </row>
    <row r="309" spans="2:47" s="1" customFormat="1" ht="11.25">
      <c r="B309" s="33"/>
      <c r="D309" s="146" t="s">
        <v>189</v>
      </c>
      <c r="F309" s="147" t="s">
        <v>190</v>
      </c>
      <c r="I309" s="144"/>
      <c r="L309" s="33"/>
      <c r="M309" s="145"/>
      <c r="T309" s="54"/>
      <c r="AT309" s="18" t="s">
        <v>189</v>
      </c>
      <c r="AU309" s="18" t="s">
        <v>87</v>
      </c>
    </row>
    <row r="310" spans="2:47" s="1" customFormat="1" ht="146.25">
      <c r="B310" s="33"/>
      <c r="D310" s="142" t="s">
        <v>191</v>
      </c>
      <c r="F310" s="148" t="s">
        <v>192</v>
      </c>
      <c r="I310" s="144"/>
      <c r="L310" s="33"/>
      <c r="M310" s="145"/>
      <c r="T310" s="54"/>
      <c r="AT310" s="18" t="s">
        <v>191</v>
      </c>
      <c r="AU310" s="18" t="s">
        <v>87</v>
      </c>
    </row>
    <row r="311" spans="2:65" s="1" customFormat="1" ht="33" customHeight="1">
      <c r="B311" s="128"/>
      <c r="C311" s="129" t="s">
        <v>1134</v>
      </c>
      <c r="D311" s="129" t="s">
        <v>180</v>
      </c>
      <c r="E311" s="130" t="s">
        <v>202</v>
      </c>
      <c r="F311" s="131" t="s">
        <v>203</v>
      </c>
      <c r="G311" s="132" t="s">
        <v>183</v>
      </c>
      <c r="H311" s="133">
        <v>1.366</v>
      </c>
      <c r="I311" s="134"/>
      <c r="J311" s="135">
        <f>ROUND(I311*H311,2)</f>
        <v>0</v>
      </c>
      <c r="K311" s="131" t="s">
        <v>184</v>
      </c>
      <c r="L311" s="33"/>
      <c r="M311" s="136" t="s">
        <v>3</v>
      </c>
      <c r="N311" s="137" t="s">
        <v>48</v>
      </c>
      <c r="P311" s="138">
        <f>O311*H311</f>
        <v>0</v>
      </c>
      <c r="Q311" s="138">
        <v>0</v>
      </c>
      <c r="R311" s="138">
        <f>Q311*H311</f>
        <v>0</v>
      </c>
      <c r="S311" s="138">
        <v>0</v>
      </c>
      <c r="T311" s="139">
        <f>S311*H311</f>
        <v>0</v>
      </c>
      <c r="AR311" s="140" t="s">
        <v>185</v>
      </c>
      <c r="AT311" s="140" t="s">
        <v>180</v>
      </c>
      <c r="AU311" s="140" t="s">
        <v>87</v>
      </c>
      <c r="AY311" s="18" t="s">
        <v>177</v>
      </c>
      <c r="BE311" s="141">
        <f>IF(N311="základní",J311,0)</f>
        <v>0</v>
      </c>
      <c r="BF311" s="141">
        <f>IF(N311="snížená",J311,0)</f>
        <v>0</v>
      </c>
      <c r="BG311" s="141">
        <f>IF(N311="zákl. přenesená",J311,0)</f>
        <v>0</v>
      </c>
      <c r="BH311" s="141">
        <f>IF(N311="sníž. přenesená",J311,0)</f>
        <v>0</v>
      </c>
      <c r="BI311" s="141">
        <f>IF(N311="nulová",J311,0)</f>
        <v>0</v>
      </c>
      <c r="BJ311" s="18" t="s">
        <v>85</v>
      </c>
      <c r="BK311" s="141">
        <f>ROUND(I311*H311,2)</f>
        <v>0</v>
      </c>
      <c r="BL311" s="18" t="s">
        <v>185</v>
      </c>
      <c r="BM311" s="140" t="s">
        <v>2067</v>
      </c>
    </row>
    <row r="312" spans="2:47" s="1" customFormat="1" ht="39">
      <c r="B312" s="33"/>
      <c r="D312" s="142" t="s">
        <v>187</v>
      </c>
      <c r="F312" s="143" t="s">
        <v>205</v>
      </c>
      <c r="I312" s="144"/>
      <c r="L312" s="33"/>
      <c r="M312" s="145"/>
      <c r="T312" s="54"/>
      <c r="AT312" s="18" t="s">
        <v>187</v>
      </c>
      <c r="AU312" s="18" t="s">
        <v>87</v>
      </c>
    </row>
    <row r="313" spans="2:47" s="1" customFormat="1" ht="11.25">
      <c r="B313" s="33"/>
      <c r="D313" s="146" t="s">
        <v>189</v>
      </c>
      <c r="F313" s="147" t="s">
        <v>206</v>
      </c>
      <c r="I313" s="144"/>
      <c r="L313" s="33"/>
      <c r="M313" s="145"/>
      <c r="T313" s="54"/>
      <c r="AT313" s="18" t="s">
        <v>189</v>
      </c>
      <c r="AU313" s="18" t="s">
        <v>87</v>
      </c>
    </row>
    <row r="314" spans="2:47" s="1" customFormat="1" ht="146.25">
      <c r="B314" s="33"/>
      <c r="D314" s="142" t="s">
        <v>191</v>
      </c>
      <c r="F314" s="148" t="s">
        <v>192</v>
      </c>
      <c r="I314" s="144"/>
      <c r="L314" s="33"/>
      <c r="M314" s="145"/>
      <c r="T314" s="54"/>
      <c r="AT314" s="18" t="s">
        <v>191</v>
      </c>
      <c r="AU314" s="18" t="s">
        <v>87</v>
      </c>
    </row>
    <row r="315" spans="2:51" s="12" customFormat="1" ht="11.25">
      <c r="B315" s="149"/>
      <c r="D315" s="142" t="s">
        <v>193</v>
      </c>
      <c r="F315" s="151" t="s">
        <v>2068</v>
      </c>
      <c r="H315" s="152">
        <v>1.366</v>
      </c>
      <c r="I315" s="153"/>
      <c r="L315" s="149"/>
      <c r="M315" s="154"/>
      <c r="T315" s="155"/>
      <c r="AT315" s="150" t="s">
        <v>193</v>
      </c>
      <c r="AU315" s="150" t="s">
        <v>87</v>
      </c>
      <c r="AV315" s="12" t="s">
        <v>87</v>
      </c>
      <c r="AW315" s="12" t="s">
        <v>4</v>
      </c>
      <c r="AX315" s="12" t="s">
        <v>85</v>
      </c>
      <c r="AY315" s="150" t="s">
        <v>177</v>
      </c>
    </row>
    <row r="316" spans="2:65" s="1" customFormat="1" ht="24.2" customHeight="1">
      <c r="B316" s="128"/>
      <c r="C316" s="129" t="s">
        <v>1140</v>
      </c>
      <c r="D316" s="129" t="s">
        <v>180</v>
      </c>
      <c r="E316" s="130" t="s">
        <v>208</v>
      </c>
      <c r="F316" s="131" t="s">
        <v>209</v>
      </c>
      <c r="G316" s="132" t="s">
        <v>183</v>
      </c>
      <c r="H316" s="133">
        <v>0.683</v>
      </c>
      <c r="I316" s="134"/>
      <c r="J316" s="135">
        <f>ROUND(I316*H316,2)</f>
        <v>0</v>
      </c>
      <c r="K316" s="131" t="s">
        <v>184</v>
      </c>
      <c r="L316" s="33"/>
      <c r="M316" s="136" t="s">
        <v>3</v>
      </c>
      <c r="N316" s="137" t="s">
        <v>48</v>
      </c>
      <c r="P316" s="138">
        <f>O316*H316</f>
        <v>0</v>
      </c>
      <c r="Q316" s="138">
        <v>0</v>
      </c>
      <c r="R316" s="138">
        <f>Q316*H316</f>
        <v>0</v>
      </c>
      <c r="S316" s="138">
        <v>0</v>
      </c>
      <c r="T316" s="139">
        <f>S316*H316</f>
        <v>0</v>
      </c>
      <c r="AR316" s="140" t="s">
        <v>185</v>
      </c>
      <c r="AT316" s="140" t="s">
        <v>180</v>
      </c>
      <c r="AU316" s="140" t="s">
        <v>87</v>
      </c>
      <c r="AY316" s="18" t="s">
        <v>177</v>
      </c>
      <c r="BE316" s="141">
        <f>IF(N316="základní",J316,0)</f>
        <v>0</v>
      </c>
      <c r="BF316" s="141">
        <f>IF(N316="snížená",J316,0)</f>
        <v>0</v>
      </c>
      <c r="BG316" s="141">
        <f>IF(N316="zákl. přenesená",J316,0)</f>
        <v>0</v>
      </c>
      <c r="BH316" s="141">
        <f>IF(N316="sníž. přenesená",J316,0)</f>
        <v>0</v>
      </c>
      <c r="BI316" s="141">
        <f>IF(N316="nulová",J316,0)</f>
        <v>0</v>
      </c>
      <c r="BJ316" s="18" t="s">
        <v>85</v>
      </c>
      <c r="BK316" s="141">
        <f>ROUND(I316*H316,2)</f>
        <v>0</v>
      </c>
      <c r="BL316" s="18" t="s">
        <v>185</v>
      </c>
      <c r="BM316" s="140" t="s">
        <v>2069</v>
      </c>
    </row>
    <row r="317" spans="2:47" s="1" customFormat="1" ht="19.5">
      <c r="B317" s="33"/>
      <c r="D317" s="142" t="s">
        <v>187</v>
      </c>
      <c r="F317" s="143" t="s">
        <v>211</v>
      </c>
      <c r="I317" s="144"/>
      <c r="L317" s="33"/>
      <c r="M317" s="145"/>
      <c r="T317" s="54"/>
      <c r="AT317" s="18" t="s">
        <v>187</v>
      </c>
      <c r="AU317" s="18" t="s">
        <v>87</v>
      </c>
    </row>
    <row r="318" spans="2:47" s="1" customFormat="1" ht="11.25">
      <c r="B318" s="33"/>
      <c r="D318" s="146" t="s">
        <v>189</v>
      </c>
      <c r="F318" s="147" t="s">
        <v>212</v>
      </c>
      <c r="I318" s="144"/>
      <c r="L318" s="33"/>
      <c r="M318" s="145"/>
      <c r="T318" s="54"/>
      <c r="AT318" s="18" t="s">
        <v>189</v>
      </c>
      <c r="AU318" s="18" t="s">
        <v>87</v>
      </c>
    </row>
    <row r="319" spans="2:47" s="1" customFormat="1" ht="97.5">
      <c r="B319" s="33"/>
      <c r="D319" s="142" t="s">
        <v>191</v>
      </c>
      <c r="F319" s="148" t="s">
        <v>213</v>
      </c>
      <c r="I319" s="144"/>
      <c r="L319" s="33"/>
      <c r="M319" s="145"/>
      <c r="T319" s="54"/>
      <c r="AT319" s="18" t="s">
        <v>191</v>
      </c>
      <c r="AU319" s="18" t="s">
        <v>87</v>
      </c>
    </row>
    <row r="320" spans="2:65" s="1" customFormat="1" ht="24.2" customHeight="1">
      <c r="B320" s="128"/>
      <c r="C320" s="129" t="s">
        <v>1144</v>
      </c>
      <c r="D320" s="129" t="s">
        <v>180</v>
      </c>
      <c r="E320" s="130" t="s">
        <v>214</v>
      </c>
      <c r="F320" s="131" t="s">
        <v>215</v>
      </c>
      <c r="G320" s="132" t="s">
        <v>183</v>
      </c>
      <c r="H320" s="133">
        <v>12.977</v>
      </c>
      <c r="I320" s="134"/>
      <c r="J320" s="135">
        <f>ROUND(I320*H320,2)</f>
        <v>0</v>
      </c>
      <c r="K320" s="131" t="s">
        <v>184</v>
      </c>
      <c r="L320" s="33"/>
      <c r="M320" s="136" t="s">
        <v>3</v>
      </c>
      <c r="N320" s="137" t="s">
        <v>48</v>
      </c>
      <c r="P320" s="138">
        <f>O320*H320</f>
        <v>0</v>
      </c>
      <c r="Q320" s="138">
        <v>0</v>
      </c>
      <c r="R320" s="138">
        <f>Q320*H320</f>
        <v>0</v>
      </c>
      <c r="S320" s="138">
        <v>0</v>
      </c>
      <c r="T320" s="139">
        <f>S320*H320</f>
        <v>0</v>
      </c>
      <c r="AR320" s="140" t="s">
        <v>185</v>
      </c>
      <c r="AT320" s="140" t="s">
        <v>180</v>
      </c>
      <c r="AU320" s="140" t="s">
        <v>87</v>
      </c>
      <c r="AY320" s="18" t="s">
        <v>177</v>
      </c>
      <c r="BE320" s="141">
        <f>IF(N320="základní",J320,0)</f>
        <v>0</v>
      </c>
      <c r="BF320" s="141">
        <f>IF(N320="snížená",J320,0)</f>
        <v>0</v>
      </c>
      <c r="BG320" s="141">
        <f>IF(N320="zákl. přenesená",J320,0)</f>
        <v>0</v>
      </c>
      <c r="BH320" s="141">
        <f>IF(N320="sníž. přenesená",J320,0)</f>
        <v>0</v>
      </c>
      <c r="BI320" s="141">
        <f>IF(N320="nulová",J320,0)</f>
        <v>0</v>
      </c>
      <c r="BJ320" s="18" t="s">
        <v>85</v>
      </c>
      <c r="BK320" s="141">
        <f>ROUND(I320*H320,2)</f>
        <v>0</v>
      </c>
      <c r="BL320" s="18" t="s">
        <v>185</v>
      </c>
      <c r="BM320" s="140" t="s">
        <v>2070</v>
      </c>
    </row>
    <row r="321" spans="2:47" s="1" customFormat="1" ht="29.25">
      <c r="B321" s="33"/>
      <c r="D321" s="142" t="s">
        <v>187</v>
      </c>
      <c r="F321" s="143" t="s">
        <v>217</v>
      </c>
      <c r="I321" s="144"/>
      <c r="L321" s="33"/>
      <c r="M321" s="145"/>
      <c r="T321" s="54"/>
      <c r="AT321" s="18" t="s">
        <v>187</v>
      </c>
      <c r="AU321" s="18" t="s">
        <v>87</v>
      </c>
    </row>
    <row r="322" spans="2:47" s="1" customFormat="1" ht="11.25">
      <c r="B322" s="33"/>
      <c r="D322" s="146" t="s">
        <v>189</v>
      </c>
      <c r="F322" s="147" t="s">
        <v>218</v>
      </c>
      <c r="I322" s="144"/>
      <c r="L322" s="33"/>
      <c r="M322" s="145"/>
      <c r="T322" s="54"/>
      <c r="AT322" s="18" t="s">
        <v>189</v>
      </c>
      <c r="AU322" s="18" t="s">
        <v>87</v>
      </c>
    </row>
    <row r="323" spans="2:47" s="1" customFormat="1" ht="97.5">
      <c r="B323" s="33"/>
      <c r="D323" s="142" t="s">
        <v>191</v>
      </c>
      <c r="F323" s="148" t="s">
        <v>213</v>
      </c>
      <c r="I323" s="144"/>
      <c r="L323" s="33"/>
      <c r="M323" s="145"/>
      <c r="T323" s="54"/>
      <c r="AT323" s="18" t="s">
        <v>191</v>
      </c>
      <c r="AU323" s="18" t="s">
        <v>87</v>
      </c>
    </row>
    <row r="324" spans="2:51" s="12" customFormat="1" ht="11.25">
      <c r="B324" s="149"/>
      <c r="D324" s="142" t="s">
        <v>193</v>
      </c>
      <c r="F324" s="151" t="s">
        <v>2071</v>
      </c>
      <c r="H324" s="152">
        <v>12.977</v>
      </c>
      <c r="I324" s="153"/>
      <c r="L324" s="149"/>
      <c r="M324" s="154"/>
      <c r="T324" s="155"/>
      <c r="AT324" s="150" t="s">
        <v>193</v>
      </c>
      <c r="AU324" s="150" t="s">
        <v>87</v>
      </c>
      <c r="AV324" s="12" t="s">
        <v>87</v>
      </c>
      <c r="AW324" s="12" t="s">
        <v>4</v>
      </c>
      <c r="AX324" s="12" t="s">
        <v>85</v>
      </c>
      <c r="AY324" s="150" t="s">
        <v>177</v>
      </c>
    </row>
    <row r="325" spans="2:65" s="1" customFormat="1" ht="44.25" customHeight="1">
      <c r="B325" s="128"/>
      <c r="C325" s="129" t="s">
        <v>1148</v>
      </c>
      <c r="D325" s="129" t="s">
        <v>180</v>
      </c>
      <c r="E325" s="130" t="s">
        <v>223</v>
      </c>
      <c r="F325" s="131" t="s">
        <v>224</v>
      </c>
      <c r="G325" s="132" t="s">
        <v>183</v>
      </c>
      <c r="H325" s="133">
        <v>0.683</v>
      </c>
      <c r="I325" s="134"/>
      <c r="J325" s="135">
        <f>ROUND(I325*H325,2)</f>
        <v>0</v>
      </c>
      <c r="K325" s="131" t="s">
        <v>184</v>
      </c>
      <c r="L325" s="33"/>
      <c r="M325" s="136" t="s">
        <v>3</v>
      </c>
      <c r="N325" s="137" t="s">
        <v>48</v>
      </c>
      <c r="P325" s="138">
        <f>O325*H325</f>
        <v>0</v>
      </c>
      <c r="Q325" s="138">
        <v>0</v>
      </c>
      <c r="R325" s="138">
        <f>Q325*H325</f>
        <v>0</v>
      </c>
      <c r="S325" s="138">
        <v>0</v>
      </c>
      <c r="T325" s="139">
        <f>S325*H325</f>
        <v>0</v>
      </c>
      <c r="AR325" s="140" t="s">
        <v>185</v>
      </c>
      <c r="AT325" s="140" t="s">
        <v>180</v>
      </c>
      <c r="AU325" s="140" t="s">
        <v>87</v>
      </c>
      <c r="AY325" s="18" t="s">
        <v>177</v>
      </c>
      <c r="BE325" s="141">
        <f>IF(N325="základní",J325,0)</f>
        <v>0</v>
      </c>
      <c r="BF325" s="141">
        <f>IF(N325="snížená",J325,0)</f>
        <v>0</v>
      </c>
      <c r="BG325" s="141">
        <f>IF(N325="zákl. přenesená",J325,0)</f>
        <v>0</v>
      </c>
      <c r="BH325" s="141">
        <f>IF(N325="sníž. přenesená",J325,0)</f>
        <v>0</v>
      </c>
      <c r="BI325" s="141">
        <f>IF(N325="nulová",J325,0)</f>
        <v>0</v>
      </c>
      <c r="BJ325" s="18" t="s">
        <v>85</v>
      </c>
      <c r="BK325" s="141">
        <f>ROUND(I325*H325,2)</f>
        <v>0</v>
      </c>
      <c r="BL325" s="18" t="s">
        <v>185</v>
      </c>
      <c r="BM325" s="140" t="s">
        <v>2072</v>
      </c>
    </row>
    <row r="326" spans="2:47" s="1" customFormat="1" ht="29.25">
      <c r="B326" s="33"/>
      <c r="D326" s="142" t="s">
        <v>187</v>
      </c>
      <c r="F326" s="143" t="s">
        <v>226</v>
      </c>
      <c r="I326" s="144"/>
      <c r="L326" s="33"/>
      <c r="M326" s="145"/>
      <c r="T326" s="54"/>
      <c r="AT326" s="18" t="s">
        <v>187</v>
      </c>
      <c r="AU326" s="18" t="s">
        <v>87</v>
      </c>
    </row>
    <row r="327" spans="2:47" s="1" customFormat="1" ht="11.25">
      <c r="B327" s="33"/>
      <c r="D327" s="146" t="s">
        <v>189</v>
      </c>
      <c r="F327" s="147" t="s">
        <v>227</v>
      </c>
      <c r="I327" s="144"/>
      <c r="L327" s="33"/>
      <c r="M327" s="145"/>
      <c r="T327" s="54"/>
      <c r="AT327" s="18" t="s">
        <v>189</v>
      </c>
      <c r="AU327" s="18" t="s">
        <v>87</v>
      </c>
    </row>
    <row r="328" spans="2:47" s="1" customFormat="1" ht="58.5">
      <c r="B328" s="33"/>
      <c r="D328" s="142" t="s">
        <v>191</v>
      </c>
      <c r="F328" s="148" t="s">
        <v>228</v>
      </c>
      <c r="I328" s="144"/>
      <c r="L328" s="33"/>
      <c r="M328" s="145"/>
      <c r="T328" s="54"/>
      <c r="AT328" s="18" t="s">
        <v>191</v>
      </c>
      <c r="AU328" s="18" t="s">
        <v>87</v>
      </c>
    </row>
    <row r="329" spans="2:63" s="11" customFormat="1" ht="22.9" customHeight="1">
      <c r="B329" s="116"/>
      <c r="D329" s="117" t="s">
        <v>76</v>
      </c>
      <c r="E329" s="126" t="s">
        <v>518</v>
      </c>
      <c r="F329" s="126" t="s">
        <v>519</v>
      </c>
      <c r="I329" s="119"/>
      <c r="J329" s="127">
        <f>BK329</f>
        <v>0</v>
      </c>
      <c r="L329" s="116"/>
      <c r="M329" s="121"/>
      <c r="P329" s="122">
        <f>SUM(P330:P333)</f>
        <v>0</v>
      </c>
      <c r="R329" s="122">
        <f>SUM(R330:R333)</f>
        <v>0</v>
      </c>
      <c r="T329" s="123">
        <f>SUM(T330:T333)</f>
        <v>0</v>
      </c>
      <c r="AR329" s="117" t="s">
        <v>85</v>
      </c>
      <c r="AT329" s="124" t="s">
        <v>76</v>
      </c>
      <c r="AU329" s="124" t="s">
        <v>85</v>
      </c>
      <c r="AY329" s="117" t="s">
        <v>177</v>
      </c>
      <c r="BK329" s="125">
        <f>SUM(BK330:BK333)</f>
        <v>0</v>
      </c>
    </row>
    <row r="330" spans="2:65" s="1" customFormat="1" ht="21.75" customHeight="1">
      <c r="B330" s="128"/>
      <c r="C330" s="129" t="s">
        <v>1156</v>
      </c>
      <c r="D330" s="129" t="s">
        <v>180</v>
      </c>
      <c r="E330" s="130" t="s">
        <v>521</v>
      </c>
      <c r="F330" s="131" t="s">
        <v>522</v>
      </c>
      <c r="G330" s="132" t="s">
        <v>183</v>
      </c>
      <c r="H330" s="133">
        <v>53.026</v>
      </c>
      <c r="I330" s="134"/>
      <c r="J330" s="135">
        <f>ROUND(I330*H330,2)</f>
        <v>0</v>
      </c>
      <c r="K330" s="131" t="s">
        <v>184</v>
      </c>
      <c r="L330" s="33"/>
      <c r="M330" s="136" t="s">
        <v>3</v>
      </c>
      <c r="N330" s="137" t="s">
        <v>48</v>
      </c>
      <c r="P330" s="138">
        <f>O330*H330</f>
        <v>0</v>
      </c>
      <c r="Q330" s="138">
        <v>0</v>
      </c>
      <c r="R330" s="138">
        <f>Q330*H330</f>
        <v>0</v>
      </c>
      <c r="S330" s="138">
        <v>0</v>
      </c>
      <c r="T330" s="139">
        <f>S330*H330</f>
        <v>0</v>
      </c>
      <c r="AR330" s="140" t="s">
        <v>185</v>
      </c>
      <c r="AT330" s="140" t="s">
        <v>180</v>
      </c>
      <c r="AU330" s="140" t="s">
        <v>87</v>
      </c>
      <c r="AY330" s="18" t="s">
        <v>177</v>
      </c>
      <c r="BE330" s="141">
        <f>IF(N330="základní",J330,0)</f>
        <v>0</v>
      </c>
      <c r="BF330" s="141">
        <f>IF(N330="snížená",J330,0)</f>
        <v>0</v>
      </c>
      <c r="BG330" s="141">
        <f>IF(N330="zákl. přenesená",J330,0)</f>
        <v>0</v>
      </c>
      <c r="BH330" s="141">
        <f>IF(N330="sníž. přenesená",J330,0)</f>
        <v>0</v>
      </c>
      <c r="BI330" s="141">
        <f>IF(N330="nulová",J330,0)</f>
        <v>0</v>
      </c>
      <c r="BJ330" s="18" t="s">
        <v>85</v>
      </c>
      <c r="BK330" s="141">
        <f>ROUND(I330*H330,2)</f>
        <v>0</v>
      </c>
      <c r="BL330" s="18" t="s">
        <v>185</v>
      </c>
      <c r="BM330" s="140" t="s">
        <v>2073</v>
      </c>
    </row>
    <row r="331" spans="2:47" s="1" customFormat="1" ht="39">
      <c r="B331" s="33"/>
      <c r="D331" s="142" t="s">
        <v>187</v>
      </c>
      <c r="F331" s="143" t="s">
        <v>524</v>
      </c>
      <c r="I331" s="144"/>
      <c r="L331" s="33"/>
      <c r="M331" s="145"/>
      <c r="T331" s="54"/>
      <c r="AT331" s="18" t="s">
        <v>187</v>
      </c>
      <c r="AU331" s="18" t="s">
        <v>87</v>
      </c>
    </row>
    <row r="332" spans="2:47" s="1" customFormat="1" ht="11.25">
      <c r="B332" s="33"/>
      <c r="D332" s="146" t="s">
        <v>189</v>
      </c>
      <c r="F332" s="147" t="s">
        <v>525</v>
      </c>
      <c r="I332" s="144"/>
      <c r="L332" s="33"/>
      <c r="M332" s="145"/>
      <c r="T332" s="54"/>
      <c r="AT332" s="18" t="s">
        <v>189</v>
      </c>
      <c r="AU332" s="18" t="s">
        <v>87</v>
      </c>
    </row>
    <row r="333" spans="2:47" s="1" customFormat="1" ht="87.75">
      <c r="B333" s="33"/>
      <c r="D333" s="142" t="s">
        <v>191</v>
      </c>
      <c r="F333" s="148" t="s">
        <v>526</v>
      </c>
      <c r="I333" s="144"/>
      <c r="L333" s="33"/>
      <c r="M333" s="145"/>
      <c r="T333" s="54"/>
      <c r="AT333" s="18" t="s">
        <v>191</v>
      </c>
      <c r="AU333" s="18" t="s">
        <v>87</v>
      </c>
    </row>
    <row r="334" spans="2:63" s="11" customFormat="1" ht="25.9" customHeight="1">
      <c r="B334" s="116"/>
      <c r="D334" s="117" t="s">
        <v>76</v>
      </c>
      <c r="E334" s="118" t="s">
        <v>229</v>
      </c>
      <c r="F334" s="118" t="s">
        <v>230</v>
      </c>
      <c r="I334" s="119"/>
      <c r="J334" s="120">
        <f>BK334</f>
        <v>0</v>
      </c>
      <c r="L334" s="116"/>
      <c r="M334" s="121"/>
      <c r="P334" s="122">
        <f>P335+P353</f>
        <v>0</v>
      </c>
      <c r="R334" s="122">
        <f>R335+R353</f>
        <v>0.103067149025</v>
      </c>
      <c r="T334" s="123">
        <f>T335+T353</f>
        <v>0</v>
      </c>
      <c r="AR334" s="117" t="s">
        <v>87</v>
      </c>
      <c r="AT334" s="124" t="s">
        <v>76</v>
      </c>
      <c r="AU334" s="124" t="s">
        <v>77</v>
      </c>
      <c r="AY334" s="117" t="s">
        <v>177</v>
      </c>
      <c r="BK334" s="125">
        <f>BK335+BK353</f>
        <v>0</v>
      </c>
    </row>
    <row r="335" spans="2:63" s="11" customFormat="1" ht="22.9" customHeight="1">
      <c r="B335" s="116"/>
      <c r="D335" s="117" t="s">
        <v>76</v>
      </c>
      <c r="E335" s="126" t="s">
        <v>712</v>
      </c>
      <c r="F335" s="126" t="s">
        <v>713</v>
      </c>
      <c r="I335" s="119"/>
      <c r="J335" s="127">
        <f>BK335</f>
        <v>0</v>
      </c>
      <c r="L335" s="116"/>
      <c r="M335" s="121"/>
      <c r="P335" s="122">
        <f>SUM(P336:P352)</f>
        <v>0</v>
      </c>
      <c r="R335" s="122">
        <f>SUM(R336:R352)</f>
        <v>0.0601846875</v>
      </c>
      <c r="T335" s="123">
        <f>SUM(T336:T352)</f>
        <v>0</v>
      </c>
      <c r="AR335" s="117" t="s">
        <v>87</v>
      </c>
      <c r="AT335" s="124" t="s">
        <v>76</v>
      </c>
      <c r="AU335" s="124" t="s">
        <v>85</v>
      </c>
      <c r="AY335" s="117" t="s">
        <v>177</v>
      </c>
      <c r="BK335" s="125">
        <f>SUM(BK336:BK352)</f>
        <v>0</v>
      </c>
    </row>
    <row r="336" spans="2:65" s="1" customFormat="1" ht="24.2" customHeight="1">
      <c r="B336" s="128"/>
      <c r="C336" s="129" t="s">
        <v>1164</v>
      </c>
      <c r="D336" s="129" t="s">
        <v>180</v>
      </c>
      <c r="E336" s="130" t="s">
        <v>736</v>
      </c>
      <c r="F336" s="131" t="s">
        <v>737</v>
      </c>
      <c r="G336" s="132" t="s">
        <v>332</v>
      </c>
      <c r="H336" s="133">
        <v>8.75</v>
      </c>
      <c r="I336" s="134"/>
      <c r="J336" s="135">
        <f>ROUND(I336*H336,2)</f>
        <v>0</v>
      </c>
      <c r="K336" s="131" t="s">
        <v>184</v>
      </c>
      <c r="L336" s="33"/>
      <c r="M336" s="136" t="s">
        <v>3</v>
      </c>
      <c r="N336" s="137" t="s">
        <v>48</v>
      </c>
      <c r="P336" s="138">
        <f>O336*H336</f>
        <v>0</v>
      </c>
      <c r="Q336" s="138">
        <v>0.00039825</v>
      </c>
      <c r="R336" s="138">
        <f>Q336*H336</f>
        <v>0.0034846875</v>
      </c>
      <c r="S336" s="138">
        <v>0</v>
      </c>
      <c r="T336" s="139">
        <f>S336*H336</f>
        <v>0</v>
      </c>
      <c r="AR336" s="140" t="s">
        <v>237</v>
      </c>
      <c r="AT336" s="140" t="s">
        <v>180</v>
      </c>
      <c r="AU336" s="140" t="s">
        <v>87</v>
      </c>
      <c r="AY336" s="18" t="s">
        <v>177</v>
      </c>
      <c r="BE336" s="141">
        <f>IF(N336="základní",J336,0)</f>
        <v>0</v>
      </c>
      <c r="BF336" s="141">
        <f>IF(N336="snížená",J336,0)</f>
        <v>0</v>
      </c>
      <c r="BG336" s="141">
        <f>IF(N336="zákl. přenesená",J336,0)</f>
        <v>0</v>
      </c>
      <c r="BH336" s="141">
        <f>IF(N336="sníž. přenesená",J336,0)</f>
        <v>0</v>
      </c>
      <c r="BI336" s="141">
        <f>IF(N336="nulová",J336,0)</f>
        <v>0</v>
      </c>
      <c r="BJ336" s="18" t="s">
        <v>85</v>
      </c>
      <c r="BK336" s="141">
        <f>ROUND(I336*H336,2)</f>
        <v>0</v>
      </c>
      <c r="BL336" s="18" t="s">
        <v>237</v>
      </c>
      <c r="BM336" s="140" t="s">
        <v>2074</v>
      </c>
    </row>
    <row r="337" spans="2:47" s="1" customFormat="1" ht="19.5">
      <c r="B337" s="33"/>
      <c r="D337" s="142" t="s">
        <v>187</v>
      </c>
      <c r="F337" s="143" t="s">
        <v>739</v>
      </c>
      <c r="I337" s="144"/>
      <c r="L337" s="33"/>
      <c r="M337" s="145"/>
      <c r="T337" s="54"/>
      <c r="AT337" s="18" t="s">
        <v>187</v>
      </c>
      <c r="AU337" s="18" t="s">
        <v>87</v>
      </c>
    </row>
    <row r="338" spans="2:47" s="1" customFormat="1" ht="11.25">
      <c r="B338" s="33"/>
      <c r="D338" s="146" t="s">
        <v>189</v>
      </c>
      <c r="F338" s="147" t="s">
        <v>740</v>
      </c>
      <c r="I338" s="144"/>
      <c r="L338" s="33"/>
      <c r="M338" s="145"/>
      <c r="T338" s="54"/>
      <c r="AT338" s="18" t="s">
        <v>189</v>
      </c>
      <c r="AU338" s="18" t="s">
        <v>87</v>
      </c>
    </row>
    <row r="339" spans="2:47" s="1" customFormat="1" ht="48.75">
      <c r="B339" s="33"/>
      <c r="D339" s="142" t="s">
        <v>191</v>
      </c>
      <c r="F339" s="148" t="s">
        <v>741</v>
      </c>
      <c r="I339" s="144"/>
      <c r="L339" s="33"/>
      <c r="M339" s="145"/>
      <c r="T339" s="54"/>
      <c r="AT339" s="18" t="s">
        <v>191</v>
      </c>
      <c r="AU339" s="18" t="s">
        <v>87</v>
      </c>
    </row>
    <row r="340" spans="2:51" s="13" customFormat="1" ht="11.25">
      <c r="B340" s="156"/>
      <c r="D340" s="142" t="s">
        <v>193</v>
      </c>
      <c r="E340" s="157" t="s">
        <v>3</v>
      </c>
      <c r="F340" s="158" t="s">
        <v>1899</v>
      </c>
      <c r="H340" s="157" t="s">
        <v>3</v>
      </c>
      <c r="I340" s="159"/>
      <c r="L340" s="156"/>
      <c r="M340" s="160"/>
      <c r="T340" s="161"/>
      <c r="AT340" s="157" t="s">
        <v>193</v>
      </c>
      <c r="AU340" s="157" t="s">
        <v>87</v>
      </c>
      <c r="AV340" s="13" t="s">
        <v>85</v>
      </c>
      <c r="AW340" s="13" t="s">
        <v>36</v>
      </c>
      <c r="AX340" s="13" t="s">
        <v>77</v>
      </c>
      <c r="AY340" s="157" t="s">
        <v>177</v>
      </c>
    </row>
    <row r="341" spans="2:51" s="12" customFormat="1" ht="11.25">
      <c r="B341" s="149"/>
      <c r="D341" s="142" t="s">
        <v>193</v>
      </c>
      <c r="E341" s="150" t="s">
        <v>3</v>
      </c>
      <c r="F341" s="151" t="s">
        <v>2075</v>
      </c>
      <c r="H341" s="152">
        <v>8.75</v>
      </c>
      <c r="I341" s="153"/>
      <c r="L341" s="149"/>
      <c r="M341" s="154"/>
      <c r="T341" s="155"/>
      <c r="AT341" s="150" t="s">
        <v>193</v>
      </c>
      <c r="AU341" s="150" t="s">
        <v>87</v>
      </c>
      <c r="AV341" s="12" t="s">
        <v>87</v>
      </c>
      <c r="AW341" s="12" t="s">
        <v>36</v>
      </c>
      <c r="AX341" s="12" t="s">
        <v>85</v>
      </c>
      <c r="AY341" s="150" t="s">
        <v>177</v>
      </c>
    </row>
    <row r="342" spans="2:65" s="1" customFormat="1" ht="44.25" customHeight="1">
      <c r="B342" s="128"/>
      <c r="C342" s="179" t="s">
        <v>1167</v>
      </c>
      <c r="D342" s="179" t="s">
        <v>484</v>
      </c>
      <c r="E342" s="180" t="s">
        <v>2076</v>
      </c>
      <c r="F342" s="181" t="s">
        <v>2077</v>
      </c>
      <c r="G342" s="182" t="s">
        <v>332</v>
      </c>
      <c r="H342" s="183">
        <v>10.5</v>
      </c>
      <c r="I342" s="184"/>
      <c r="J342" s="185">
        <f>ROUND(I342*H342,2)</f>
        <v>0</v>
      </c>
      <c r="K342" s="181" t="s">
        <v>184</v>
      </c>
      <c r="L342" s="186"/>
      <c r="M342" s="187" t="s">
        <v>3</v>
      </c>
      <c r="N342" s="188" t="s">
        <v>48</v>
      </c>
      <c r="P342" s="138">
        <f>O342*H342</f>
        <v>0</v>
      </c>
      <c r="Q342" s="138">
        <v>0.0054</v>
      </c>
      <c r="R342" s="138">
        <f>Q342*H342</f>
        <v>0.0567</v>
      </c>
      <c r="S342" s="138">
        <v>0</v>
      </c>
      <c r="T342" s="139">
        <f>S342*H342</f>
        <v>0</v>
      </c>
      <c r="AR342" s="140" t="s">
        <v>537</v>
      </c>
      <c r="AT342" s="140" t="s">
        <v>484</v>
      </c>
      <c r="AU342" s="140" t="s">
        <v>87</v>
      </c>
      <c r="AY342" s="18" t="s">
        <v>177</v>
      </c>
      <c r="BE342" s="141">
        <f>IF(N342="základní",J342,0)</f>
        <v>0</v>
      </c>
      <c r="BF342" s="141">
        <f>IF(N342="snížená",J342,0)</f>
        <v>0</v>
      </c>
      <c r="BG342" s="141">
        <f>IF(N342="zákl. přenesená",J342,0)</f>
        <v>0</v>
      </c>
      <c r="BH342" s="141">
        <f>IF(N342="sníž. přenesená",J342,0)</f>
        <v>0</v>
      </c>
      <c r="BI342" s="141">
        <f>IF(N342="nulová",J342,0)</f>
        <v>0</v>
      </c>
      <c r="BJ342" s="18" t="s">
        <v>85</v>
      </c>
      <c r="BK342" s="141">
        <f>ROUND(I342*H342,2)</f>
        <v>0</v>
      </c>
      <c r="BL342" s="18" t="s">
        <v>237</v>
      </c>
      <c r="BM342" s="140" t="s">
        <v>2078</v>
      </c>
    </row>
    <row r="343" spans="2:47" s="1" customFormat="1" ht="29.25">
      <c r="B343" s="33"/>
      <c r="D343" s="142" t="s">
        <v>187</v>
      </c>
      <c r="F343" s="143" t="s">
        <v>2077</v>
      </c>
      <c r="I343" s="144"/>
      <c r="L343" s="33"/>
      <c r="M343" s="145"/>
      <c r="T343" s="54"/>
      <c r="AT343" s="18" t="s">
        <v>187</v>
      </c>
      <c r="AU343" s="18" t="s">
        <v>87</v>
      </c>
    </row>
    <row r="344" spans="2:51" s="12" customFormat="1" ht="11.25">
      <c r="B344" s="149"/>
      <c r="D344" s="142" t="s">
        <v>193</v>
      </c>
      <c r="F344" s="151" t="s">
        <v>2079</v>
      </c>
      <c r="H344" s="152">
        <v>10.5</v>
      </c>
      <c r="I344" s="153"/>
      <c r="L344" s="149"/>
      <c r="M344" s="154"/>
      <c r="T344" s="155"/>
      <c r="AT344" s="150" t="s">
        <v>193</v>
      </c>
      <c r="AU344" s="150" t="s">
        <v>87</v>
      </c>
      <c r="AV344" s="12" t="s">
        <v>87</v>
      </c>
      <c r="AW344" s="12" t="s">
        <v>4</v>
      </c>
      <c r="AX344" s="12" t="s">
        <v>85</v>
      </c>
      <c r="AY344" s="150" t="s">
        <v>177</v>
      </c>
    </row>
    <row r="345" spans="2:65" s="1" customFormat="1" ht="33" customHeight="1">
      <c r="B345" s="128"/>
      <c r="C345" s="129" t="s">
        <v>1173</v>
      </c>
      <c r="D345" s="129" t="s">
        <v>180</v>
      </c>
      <c r="E345" s="130" t="s">
        <v>757</v>
      </c>
      <c r="F345" s="131" t="s">
        <v>758</v>
      </c>
      <c r="G345" s="132" t="s">
        <v>183</v>
      </c>
      <c r="H345" s="133">
        <v>0.06</v>
      </c>
      <c r="I345" s="134"/>
      <c r="J345" s="135">
        <f>ROUND(I345*H345,2)</f>
        <v>0</v>
      </c>
      <c r="K345" s="131" t="s">
        <v>184</v>
      </c>
      <c r="L345" s="33"/>
      <c r="M345" s="136" t="s">
        <v>3</v>
      </c>
      <c r="N345" s="137" t="s">
        <v>48</v>
      </c>
      <c r="P345" s="138">
        <f>O345*H345</f>
        <v>0</v>
      </c>
      <c r="Q345" s="138">
        <v>0</v>
      </c>
      <c r="R345" s="138">
        <f>Q345*H345</f>
        <v>0</v>
      </c>
      <c r="S345" s="138">
        <v>0</v>
      </c>
      <c r="T345" s="139">
        <f>S345*H345</f>
        <v>0</v>
      </c>
      <c r="AR345" s="140" t="s">
        <v>237</v>
      </c>
      <c r="AT345" s="140" t="s">
        <v>180</v>
      </c>
      <c r="AU345" s="140" t="s">
        <v>87</v>
      </c>
      <c r="AY345" s="18" t="s">
        <v>177</v>
      </c>
      <c r="BE345" s="141">
        <f>IF(N345="základní",J345,0)</f>
        <v>0</v>
      </c>
      <c r="BF345" s="141">
        <f>IF(N345="snížená",J345,0)</f>
        <v>0</v>
      </c>
      <c r="BG345" s="141">
        <f>IF(N345="zákl. přenesená",J345,0)</f>
        <v>0</v>
      </c>
      <c r="BH345" s="141">
        <f>IF(N345="sníž. přenesená",J345,0)</f>
        <v>0</v>
      </c>
      <c r="BI345" s="141">
        <f>IF(N345="nulová",J345,0)</f>
        <v>0</v>
      </c>
      <c r="BJ345" s="18" t="s">
        <v>85</v>
      </c>
      <c r="BK345" s="141">
        <f>ROUND(I345*H345,2)</f>
        <v>0</v>
      </c>
      <c r="BL345" s="18" t="s">
        <v>237</v>
      </c>
      <c r="BM345" s="140" t="s">
        <v>2080</v>
      </c>
    </row>
    <row r="346" spans="2:47" s="1" customFormat="1" ht="29.25">
      <c r="B346" s="33"/>
      <c r="D346" s="142" t="s">
        <v>187</v>
      </c>
      <c r="F346" s="143" t="s">
        <v>760</v>
      </c>
      <c r="I346" s="144"/>
      <c r="L346" s="33"/>
      <c r="M346" s="145"/>
      <c r="T346" s="54"/>
      <c r="AT346" s="18" t="s">
        <v>187</v>
      </c>
      <c r="AU346" s="18" t="s">
        <v>87</v>
      </c>
    </row>
    <row r="347" spans="2:47" s="1" customFormat="1" ht="11.25">
      <c r="B347" s="33"/>
      <c r="D347" s="146" t="s">
        <v>189</v>
      </c>
      <c r="F347" s="147" t="s">
        <v>761</v>
      </c>
      <c r="I347" s="144"/>
      <c r="L347" s="33"/>
      <c r="M347" s="145"/>
      <c r="T347" s="54"/>
      <c r="AT347" s="18" t="s">
        <v>189</v>
      </c>
      <c r="AU347" s="18" t="s">
        <v>87</v>
      </c>
    </row>
    <row r="348" spans="2:47" s="1" customFormat="1" ht="126.75">
      <c r="B348" s="33"/>
      <c r="D348" s="142" t="s">
        <v>191</v>
      </c>
      <c r="F348" s="148" t="s">
        <v>762</v>
      </c>
      <c r="I348" s="144"/>
      <c r="L348" s="33"/>
      <c r="M348" s="145"/>
      <c r="T348" s="54"/>
      <c r="AT348" s="18" t="s">
        <v>191</v>
      </c>
      <c r="AU348" s="18" t="s">
        <v>87</v>
      </c>
    </row>
    <row r="349" spans="2:65" s="1" customFormat="1" ht="24.2" customHeight="1">
      <c r="B349" s="128"/>
      <c r="C349" s="129" t="s">
        <v>1177</v>
      </c>
      <c r="D349" s="129" t="s">
        <v>180</v>
      </c>
      <c r="E349" s="130" t="s">
        <v>764</v>
      </c>
      <c r="F349" s="131" t="s">
        <v>765</v>
      </c>
      <c r="G349" s="132" t="s">
        <v>183</v>
      </c>
      <c r="H349" s="133">
        <v>0.06</v>
      </c>
      <c r="I349" s="134"/>
      <c r="J349" s="135">
        <f>ROUND(I349*H349,2)</f>
        <v>0</v>
      </c>
      <c r="K349" s="131" t="s">
        <v>184</v>
      </c>
      <c r="L349" s="33"/>
      <c r="M349" s="136" t="s">
        <v>3</v>
      </c>
      <c r="N349" s="137" t="s">
        <v>48</v>
      </c>
      <c r="P349" s="138">
        <f>O349*H349</f>
        <v>0</v>
      </c>
      <c r="Q349" s="138">
        <v>0</v>
      </c>
      <c r="R349" s="138">
        <f>Q349*H349</f>
        <v>0</v>
      </c>
      <c r="S349" s="138">
        <v>0</v>
      </c>
      <c r="T349" s="139">
        <f>S349*H349</f>
        <v>0</v>
      </c>
      <c r="AR349" s="140" t="s">
        <v>237</v>
      </c>
      <c r="AT349" s="140" t="s">
        <v>180</v>
      </c>
      <c r="AU349" s="140" t="s">
        <v>87</v>
      </c>
      <c r="AY349" s="18" t="s">
        <v>177</v>
      </c>
      <c r="BE349" s="141">
        <f>IF(N349="základní",J349,0)</f>
        <v>0</v>
      </c>
      <c r="BF349" s="141">
        <f>IF(N349="snížená",J349,0)</f>
        <v>0</v>
      </c>
      <c r="BG349" s="141">
        <f>IF(N349="zákl. přenesená",J349,0)</f>
        <v>0</v>
      </c>
      <c r="BH349" s="141">
        <f>IF(N349="sníž. přenesená",J349,0)</f>
        <v>0</v>
      </c>
      <c r="BI349" s="141">
        <f>IF(N349="nulová",J349,0)</f>
        <v>0</v>
      </c>
      <c r="BJ349" s="18" t="s">
        <v>85</v>
      </c>
      <c r="BK349" s="141">
        <f>ROUND(I349*H349,2)</f>
        <v>0</v>
      </c>
      <c r="BL349" s="18" t="s">
        <v>237</v>
      </c>
      <c r="BM349" s="140" t="s">
        <v>2081</v>
      </c>
    </row>
    <row r="350" spans="2:47" s="1" customFormat="1" ht="29.25">
      <c r="B350" s="33"/>
      <c r="D350" s="142" t="s">
        <v>187</v>
      </c>
      <c r="F350" s="143" t="s">
        <v>767</v>
      </c>
      <c r="I350" s="144"/>
      <c r="L350" s="33"/>
      <c r="M350" s="145"/>
      <c r="T350" s="54"/>
      <c r="AT350" s="18" t="s">
        <v>187</v>
      </c>
      <c r="AU350" s="18" t="s">
        <v>87</v>
      </c>
    </row>
    <row r="351" spans="2:47" s="1" customFormat="1" ht="11.25">
      <c r="B351" s="33"/>
      <c r="D351" s="146" t="s">
        <v>189</v>
      </c>
      <c r="F351" s="147" t="s">
        <v>768</v>
      </c>
      <c r="I351" s="144"/>
      <c r="L351" s="33"/>
      <c r="M351" s="145"/>
      <c r="T351" s="54"/>
      <c r="AT351" s="18" t="s">
        <v>189</v>
      </c>
      <c r="AU351" s="18" t="s">
        <v>87</v>
      </c>
    </row>
    <row r="352" spans="2:47" s="1" customFormat="1" ht="126.75">
      <c r="B352" s="33"/>
      <c r="D352" s="142" t="s">
        <v>191</v>
      </c>
      <c r="F352" s="148" t="s">
        <v>762</v>
      </c>
      <c r="I352" s="144"/>
      <c r="L352" s="33"/>
      <c r="M352" s="145"/>
      <c r="T352" s="54"/>
      <c r="AT352" s="18" t="s">
        <v>191</v>
      </c>
      <c r="AU352" s="18" t="s">
        <v>87</v>
      </c>
    </row>
    <row r="353" spans="2:63" s="11" customFormat="1" ht="22.9" customHeight="1">
      <c r="B353" s="116"/>
      <c r="D353" s="117" t="s">
        <v>76</v>
      </c>
      <c r="E353" s="126" t="s">
        <v>1322</v>
      </c>
      <c r="F353" s="126" t="s">
        <v>1323</v>
      </c>
      <c r="I353" s="119"/>
      <c r="J353" s="127">
        <f>BK353</f>
        <v>0</v>
      </c>
      <c r="L353" s="116"/>
      <c r="M353" s="121"/>
      <c r="P353" s="122">
        <f>SUM(P354:P370)</f>
        <v>0</v>
      </c>
      <c r="R353" s="122">
        <f>SUM(R354:R370)</f>
        <v>0.042882461525</v>
      </c>
      <c r="T353" s="123">
        <f>SUM(T354:T370)</f>
        <v>0</v>
      </c>
      <c r="AR353" s="117" t="s">
        <v>87</v>
      </c>
      <c r="AT353" s="124" t="s">
        <v>76</v>
      </c>
      <c r="AU353" s="124" t="s">
        <v>85</v>
      </c>
      <c r="AY353" s="117" t="s">
        <v>177</v>
      </c>
      <c r="BK353" s="125">
        <f>SUM(BK354:BK370)</f>
        <v>0</v>
      </c>
    </row>
    <row r="354" spans="2:65" s="1" customFormat="1" ht="24.2" customHeight="1">
      <c r="B354" s="128"/>
      <c r="C354" s="129" t="s">
        <v>1180</v>
      </c>
      <c r="D354" s="129" t="s">
        <v>180</v>
      </c>
      <c r="E354" s="130" t="s">
        <v>2082</v>
      </c>
      <c r="F354" s="131" t="s">
        <v>2083</v>
      </c>
      <c r="G354" s="132" t="s">
        <v>1628</v>
      </c>
      <c r="H354" s="133">
        <v>36.722</v>
      </c>
      <c r="I354" s="134"/>
      <c r="J354" s="135">
        <f>ROUND(I354*H354,2)</f>
        <v>0</v>
      </c>
      <c r="K354" s="131" t="s">
        <v>184</v>
      </c>
      <c r="L354" s="33"/>
      <c r="M354" s="136" t="s">
        <v>3</v>
      </c>
      <c r="N354" s="137" t="s">
        <v>48</v>
      </c>
      <c r="P354" s="138">
        <f>O354*H354</f>
        <v>0</v>
      </c>
      <c r="Q354" s="138">
        <v>5.12625E-05</v>
      </c>
      <c r="R354" s="138">
        <f>Q354*H354</f>
        <v>0.001882461525</v>
      </c>
      <c r="S354" s="138">
        <v>0</v>
      </c>
      <c r="T354" s="139">
        <f>S354*H354</f>
        <v>0</v>
      </c>
      <c r="AR354" s="140" t="s">
        <v>237</v>
      </c>
      <c r="AT354" s="140" t="s">
        <v>180</v>
      </c>
      <c r="AU354" s="140" t="s">
        <v>87</v>
      </c>
      <c r="AY354" s="18" t="s">
        <v>177</v>
      </c>
      <c r="BE354" s="141">
        <f>IF(N354="základní",J354,0)</f>
        <v>0</v>
      </c>
      <c r="BF354" s="141">
        <f>IF(N354="snížená",J354,0)</f>
        <v>0</v>
      </c>
      <c r="BG354" s="141">
        <f>IF(N354="zákl. přenesená",J354,0)</f>
        <v>0</v>
      </c>
      <c r="BH354" s="141">
        <f>IF(N354="sníž. přenesená",J354,0)</f>
        <v>0</v>
      </c>
      <c r="BI354" s="141">
        <f>IF(N354="nulová",J354,0)</f>
        <v>0</v>
      </c>
      <c r="BJ354" s="18" t="s">
        <v>85</v>
      </c>
      <c r="BK354" s="141">
        <f>ROUND(I354*H354,2)</f>
        <v>0</v>
      </c>
      <c r="BL354" s="18" t="s">
        <v>237</v>
      </c>
      <c r="BM354" s="140" t="s">
        <v>2084</v>
      </c>
    </row>
    <row r="355" spans="2:47" s="1" customFormat="1" ht="19.5">
      <c r="B355" s="33"/>
      <c r="D355" s="142" t="s">
        <v>187</v>
      </c>
      <c r="F355" s="143" t="s">
        <v>2085</v>
      </c>
      <c r="I355" s="144"/>
      <c r="L355" s="33"/>
      <c r="M355" s="145"/>
      <c r="T355" s="54"/>
      <c r="AT355" s="18" t="s">
        <v>187</v>
      </c>
      <c r="AU355" s="18" t="s">
        <v>87</v>
      </c>
    </row>
    <row r="356" spans="2:47" s="1" customFormat="1" ht="11.25">
      <c r="B356" s="33"/>
      <c r="D356" s="146" t="s">
        <v>189</v>
      </c>
      <c r="F356" s="147" t="s">
        <v>2086</v>
      </c>
      <c r="I356" s="144"/>
      <c r="L356" s="33"/>
      <c r="M356" s="145"/>
      <c r="T356" s="54"/>
      <c r="AT356" s="18" t="s">
        <v>189</v>
      </c>
      <c r="AU356" s="18" t="s">
        <v>87</v>
      </c>
    </row>
    <row r="357" spans="2:47" s="1" customFormat="1" ht="39">
      <c r="B357" s="33"/>
      <c r="D357" s="142" t="s">
        <v>191</v>
      </c>
      <c r="F357" s="148" t="s">
        <v>1632</v>
      </c>
      <c r="I357" s="144"/>
      <c r="L357" s="33"/>
      <c r="M357" s="145"/>
      <c r="T357" s="54"/>
      <c r="AT357" s="18" t="s">
        <v>191</v>
      </c>
      <c r="AU357" s="18" t="s">
        <v>87</v>
      </c>
    </row>
    <row r="358" spans="2:51" s="12" customFormat="1" ht="11.25">
      <c r="B358" s="149"/>
      <c r="D358" s="142" t="s">
        <v>193</v>
      </c>
      <c r="E358" s="150" t="s">
        <v>3</v>
      </c>
      <c r="F358" s="151" t="s">
        <v>2087</v>
      </c>
      <c r="H358" s="152">
        <v>36.722</v>
      </c>
      <c r="I358" s="153"/>
      <c r="L358" s="149"/>
      <c r="M358" s="154"/>
      <c r="T358" s="155"/>
      <c r="AT358" s="150" t="s">
        <v>193</v>
      </c>
      <c r="AU358" s="150" t="s">
        <v>87</v>
      </c>
      <c r="AV358" s="12" t="s">
        <v>87</v>
      </c>
      <c r="AW358" s="12" t="s">
        <v>36</v>
      </c>
      <c r="AX358" s="12" t="s">
        <v>85</v>
      </c>
      <c r="AY358" s="150" t="s">
        <v>177</v>
      </c>
    </row>
    <row r="359" spans="2:65" s="1" customFormat="1" ht="24.2" customHeight="1">
      <c r="B359" s="128"/>
      <c r="C359" s="179" t="s">
        <v>1183</v>
      </c>
      <c r="D359" s="179" t="s">
        <v>484</v>
      </c>
      <c r="E359" s="180" t="s">
        <v>2088</v>
      </c>
      <c r="F359" s="181" t="s">
        <v>2089</v>
      </c>
      <c r="G359" s="182" t="s">
        <v>183</v>
      </c>
      <c r="H359" s="183">
        <v>0.041</v>
      </c>
      <c r="I359" s="184"/>
      <c r="J359" s="185">
        <f>ROUND(I359*H359,2)</f>
        <v>0</v>
      </c>
      <c r="K359" s="181" t="s">
        <v>184</v>
      </c>
      <c r="L359" s="186"/>
      <c r="M359" s="187" t="s">
        <v>3</v>
      </c>
      <c r="N359" s="188" t="s">
        <v>48</v>
      </c>
      <c r="P359" s="138">
        <f>O359*H359</f>
        <v>0</v>
      </c>
      <c r="Q359" s="138">
        <v>1</v>
      </c>
      <c r="R359" s="138">
        <f>Q359*H359</f>
        <v>0.041</v>
      </c>
      <c r="S359" s="138">
        <v>0</v>
      </c>
      <c r="T359" s="139">
        <f>S359*H359</f>
        <v>0</v>
      </c>
      <c r="AR359" s="140" t="s">
        <v>537</v>
      </c>
      <c r="AT359" s="140" t="s">
        <v>484</v>
      </c>
      <c r="AU359" s="140" t="s">
        <v>87</v>
      </c>
      <c r="AY359" s="18" t="s">
        <v>177</v>
      </c>
      <c r="BE359" s="141">
        <f>IF(N359="základní",J359,0)</f>
        <v>0</v>
      </c>
      <c r="BF359" s="141">
        <f>IF(N359="snížená",J359,0)</f>
        <v>0</v>
      </c>
      <c r="BG359" s="141">
        <f>IF(N359="zákl. přenesená",J359,0)</f>
        <v>0</v>
      </c>
      <c r="BH359" s="141">
        <f>IF(N359="sníž. přenesená",J359,0)</f>
        <v>0</v>
      </c>
      <c r="BI359" s="141">
        <f>IF(N359="nulová",J359,0)</f>
        <v>0</v>
      </c>
      <c r="BJ359" s="18" t="s">
        <v>85</v>
      </c>
      <c r="BK359" s="141">
        <f>ROUND(I359*H359,2)</f>
        <v>0</v>
      </c>
      <c r="BL359" s="18" t="s">
        <v>237</v>
      </c>
      <c r="BM359" s="140" t="s">
        <v>2090</v>
      </c>
    </row>
    <row r="360" spans="2:47" s="1" customFormat="1" ht="11.25">
      <c r="B360" s="33"/>
      <c r="D360" s="142" t="s">
        <v>187</v>
      </c>
      <c r="F360" s="143" t="s">
        <v>2091</v>
      </c>
      <c r="I360" s="144"/>
      <c r="L360" s="33"/>
      <c r="M360" s="145"/>
      <c r="T360" s="54"/>
      <c r="AT360" s="18" t="s">
        <v>187</v>
      </c>
      <c r="AU360" s="18" t="s">
        <v>87</v>
      </c>
    </row>
    <row r="361" spans="2:51" s="12" customFormat="1" ht="11.25">
      <c r="B361" s="149"/>
      <c r="D361" s="142" t="s">
        <v>193</v>
      </c>
      <c r="E361" s="150" t="s">
        <v>3</v>
      </c>
      <c r="F361" s="151" t="s">
        <v>2092</v>
      </c>
      <c r="H361" s="152">
        <v>0.037</v>
      </c>
      <c r="I361" s="153"/>
      <c r="L361" s="149"/>
      <c r="M361" s="154"/>
      <c r="T361" s="155"/>
      <c r="AT361" s="150" t="s">
        <v>193</v>
      </c>
      <c r="AU361" s="150" t="s">
        <v>87</v>
      </c>
      <c r="AV361" s="12" t="s">
        <v>87</v>
      </c>
      <c r="AW361" s="12" t="s">
        <v>36</v>
      </c>
      <c r="AX361" s="12" t="s">
        <v>85</v>
      </c>
      <c r="AY361" s="150" t="s">
        <v>177</v>
      </c>
    </row>
    <row r="362" spans="2:51" s="12" customFormat="1" ht="11.25">
      <c r="B362" s="149"/>
      <c r="D362" s="142" t="s">
        <v>193</v>
      </c>
      <c r="F362" s="151" t="s">
        <v>2093</v>
      </c>
      <c r="H362" s="152">
        <v>0.041</v>
      </c>
      <c r="I362" s="153"/>
      <c r="L362" s="149"/>
      <c r="M362" s="154"/>
      <c r="T362" s="155"/>
      <c r="AT362" s="150" t="s">
        <v>193</v>
      </c>
      <c r="AU362" s="150" t="s">
        <v>87</v>
      </c>
      <c r="AV362" s="12" t="s">
        <v>87</v>
      </c>
      <c r="AW362" s="12" t="s">
        <v>4</v>
      </c>
      <c r="AX362" s="12" t="s">
        <v>85</v>
      </c>
      <c r="AY362" s="150" t="s">
        <v>177</v>
      </c>
    </row>
    <row r="363" spans="2:65" s="1" customFormat="1" ht="24.2" customHeight="1">
      <c r="B363" s="128"/>
      <c r="C363" s="129" t="s">
        <v>1185</v>
      </c>
      <c r="D363" s="129" t="s">
        <v>180</v>
      </c>
      <c r="E363" s="130" t="s">
        <v>1646</v>
      </c>
      <c r="F363" s="131" t="s">
        <v>1647</v>
      </c>
      <c r="G363" s="132" t="s">
        <v>183</v>
      </c>
      <c r="H363" s="133">
        <v>0.043</v>
      </c>
      <c r="I363" s="134"/>
      <c r="J363" s="135">
        <f>ROUND(I363*H363,2)</f>
        <v>0</v>
      </c>
      <c r="K363" s="131" t="s">
        <v>184</v>
      </c>
      <c r="L363" s="33"/>
      <c r="M363" s="136" t="s">
        <v>3</v>
      </c>
      <c r="N363" s="137" t="s">
        <v>48</v>
      </c>
      <c r="P363" s="138">
        <f>O363*H363</f>
        <v>0</v>
      </c>
      <c r="Q363" s="138">
        <v>0</v>
      </c>
      <c r="R363" s="138">
        <f>Q363*H363</f>
        <v>0</v>
      </c>
      <c r="S363" s="138">
        <v>0</v>
      </c>
      <c r="T363" s="139">
        <f>S363*H363</f>
        <v>0</v>
      </c>
      <c r="AR363" s="140" t="s">
        <v>237</v>
      </c>
      <c r="AT363" s="140" t="s">
        <v>180</v>
      </c>
      <c r="AU363" s="140" t="s">
        <v>87</v>
      </c>
      <c r="AY363" s="18" t="s">
        <v>177</v>
      </c>
      <c r="BE363" s="141">
        <f>IF(N363="základní",J363,0)</f>
        <v>0</v>
      </c>
      <c r="BF363" s="141">
        <f>IF(N363="snížená",J363,0)</f>
        <v>0</v>
      </c>
      <c r="BG363" s="141">
        <f>IF(N363="zákl. přenesená",J363,0)</f>
        <v>0</v>
      </c>
      <c r="BH363" s="141">
        <f>IF(N363="sníž. přenesená",J363,0)</f>
        <v>0</v>
      </c>
      <c r="BI363" s="141">
        <f>IF(N363="nulová",J363,0)</f>
        <v>0</v>
      </c>
      <c r="BJ363" s="18" t="s">
        <v>85</v>
      </c>
      <c r="BK363" s="141">
        <f>ROUND(I363*H363,2)</f>
        <v>0</v>
      </c>
      <c r="BL363" s="18" t="s">
        <v>237</v>
      </c>
      <c r="BM363" s="140" t="s">
        <v>2094</v>
      </c>
    </row>
    <row r="364" spans="2:47" s="1" customFormat="1" ht="29.25">
      <c r="B364" s="33"/>
      <c r="D364" s="142" t="s">
        <v>187</v>
      </c>
      <c r="F364" s="143" t="s">
        <v>1649</v>
      </c>
      <c r="I364" s="144"/>
      <c r="L364" s="33"/>
      <c r="M364" s="145"/>
      <c r="T364" s="54"/>
      <c r="AT364" s="18" t="s">
        <v>187</v>
      </c>
      <c r="AU364" s="18" t="s">
        <v>87</v>
      </c>
    </row>
    <row r="365" spans="2:47" s="1" customFormat="1" ht="11.25">
      <c r="B365" s="33"/>
      <c r="D365" s="146" t="s">
        <v>189</v>
      </c>
      <c r="F365" s="147" t="s">
        <v>1650</v>
      </c>
      <c r="I365" s="144"/>
      <c r="L365" s="33"/>
      <c r="M365" s="145"/>
      <c r="T365" s="54"/>
      <c r="AT365" s="18" t="s">
        <v>189</v>
      </c>
      <c r="AU365" s="18" t="s">
        <v>87</v>
      </c>
    </row>
    <row r="366" spans="2:47" s="1" customFormat="1" ht="126.75">
      <c r="B366" s="33"/>
      <c r="D366" s="142" t="s">
        <v>191</v>
      </c>
      <c r="F366" s="148" t="s">
        <v>1651</v>
      </c>
      <c r="I366" s="144"/>
      <c r="L366" s="33"/>
      <c r="M366" s="145"/>
      <c r="T366" s="54"/>
      <c r="AT366" s="18" t="s">
        <v>191</v>
      </c>
      <c r="AU366" s="18" t="s">
        <v>87</v>
      </c>
    </row>
    <row r="367" spans="2:65" s="1" customFormat="1" ht="24.2" customHeight="1">
      <c r="B367" s="128"/>
      <c r="C367" s="129" t="s">
        <v>1188</v>
      </c>
      <c r="D367" s="129" t="s">
        <v>180</v>
      </c>
      <c r="E367" s="130" t="s">
        <v>1652</v>
      </c>
      <c r="F367" s="131" t="s">
        <v>1653</v>
      </c>
      <c r="G367" s="132" t="s">
        <v>183</v>
      </c>
      <c r="H367" s="133">
        <v>0.043</v>
      </c>
      <c r="I367" s="134"/>
      <c r="J367" s="135">
        <f>ROUND(I367*H367,2)</f>
        <v>0</v>
      </c>
      <c r="K367" s="131" t="s">
        <v>184</v>
      </c>
      <c r="L367" s="33"/>
      <c r="M367" s="136" t="s">
        <v>3</v>
      </c>
      <c r="N367" s="137" t="s">
        <v>48</v>
      </c>
      <c r="P367" s="138">
        <f>O367*H367</f>
        <v>0</v>
      </c>
      <c r="Q367" s="138">
        <v>0</v>
      </c>
      <c r="R367" s="138">
        <f>Q367*H367</f>
        <v>0</v>
      </c>
      <c r="S367" s="138">
        <v>0</v>
      </c>
      <c r="T367" s="139">
        <f>S367*H367</f>
        <v>0</v>
      </c>
      <c r="AR367" s="140" t="s">
        <v>237</v>
      </c>
      <c r="AT367" s="140" t="s">
        <v>180</v>
      </c>
      <c r="AU367" s="140" t="s">
        <v>87</v>
      </c>
      <c r="AY367" s="18" t="s">
        <v>177</v>
      </c>
      <c r="BE367" s="141">
        <f>IF(N367="základní",J367,0)</f>
        <v>0</v>
      </c>
      <c r="BF367" s="141">
        <f>IF(N367="snížená",J367,0)</f>
        <v>0</v>
      </c>
      <c r="BG367" s="141">
        <f>IF(N367="zákl. přenesená",J367,0)</f>
        <v>0</v>
      </c>
      <c r="BH367" s="141">
        <f>IF(N367="sníž. přenesená",J367,0)</f>
        <v>0</v>
      </c>
      <c r="BI367" s="141">
        <f>IF(N367="nulová",J367,0)</f>
        <v>0</v>
      </c>
      <c r="BJ367" s="18" t="s">
        <v>85</v>
      </c>
      <c r="BK367" s="141">
        <f>ROUND(I367*H367,2)</f>
        <v>0</v>
      </c>
      <c r="BL367" s="18" t="s">
        <v>237</v>
      </c>
      <c r="BM367" s="140" t="s">
        <v>2095</v>
      </c>
    </row>
    <row r="368" spans="2:47" s="1" customFormat="1" ht="29.25">
      <c r="B368" s="33"/>
      <c r="D368" s="142" t="s">
        <v>187</v>
      </c>
      <c r="F368" s="143" t="s">
        <v>1655</v>
      </c>
      <c r="I368" s="144"/>
      <c r="L368" s="33"/>
      <c r="M368" s="145"/>
      <c r="T368" s="54"/>
      <c r="AT368" s="18" t="s">
        <v>187</v>
      </c>
      <c r="AU368" s="18" t="s">
        <v>87</v>
      </c>
    </row>
    <row r="369" spans="2:47" s="1" customFormat="1" ht="11.25">
      <c r="B369" s="33"/>
      <c r="D369" s="146" t="s">
        <v>189</v>
      </c>
      <c r="F369" s="147" t="s">
        <v>1656</v>
      </c>
      <c r="I369" s="144"/>
      <c r="L369" s="33"/>
      <c r="M369" s="145"/>
      <c r="T369" s="54"/>
      <c r="AT369" s="18" t="s">
        <v>189</v>
      </c>
      <c r="AU369" s="18" t="s">
        <v>87</v>
      </c>
    </row>
    <row r="370" spans="2:47" s="1" customFormat="1" ht="126.75">
      <c r="B370" s="33"/>
      <c r="D370" s="142" t="s">
        <v>191</v>
      </c>
      <c r="F370" s="148" t="s">
        <v>1651</v>
      </c>
      <c r="I370" s="144"/>
      <c r="L370" s="33"/>
      <c r="M370" s="145"/>
      <c r="T370" s="54"/>
      <c r="AT370" s="18" t="s">
        <v>191</v>
      </c>
      <c r="AU370" s="18" t="s">
        <v>87</v>
      </c>
    </row>
    <row r="371" spans="2:63" s="11" customFormat="1" ht="25.9" customHeight="1">
      <c r="B371" s="116"/>
      <c r="D371" s="117" t="s">
        <v>76</v>
      </c>
      <c r="E371" s="118" t="s">
        <v>313</v>
      </c>
      <c r="F371" s="118" t="s">
        <v>314</v>
      </c>
      <c r="I371" s="119"/>
      <c r="J371" s="120">
        <f>BK371</f>
        <v>0</v>
      </c>
      <c r="L371" s="116"/>
      <c r="M371" s="121"/>
      <c r="P371" s="122">
        <f>SUM(P372:P374)</f>
        <v>0</v>
      </c>
      <c r="R371" s="122">
        <f>SUM(R372:R374)</f>
        <v>0</v>
      </c>
      <c r="T371" s="123">
        <f>SUM(T372:T374)</f>
        <v>0</v>
      </c>
      <c r="AR371" s="117" t="s">
        <v>185</v>
      </c>
      <c r="AT371" s="124" t="s">
        <v>76</v>
      </c>
      <c r="AU371" s="124" t="s">
        <v>77</v>
      </c>
      <c r="AY371" s="117" t="s">
        <v>177</v>
      </c>
      <c r="BK371" s="125">
        <f>SUM(BK372:BK374)</f>
        <v>0</v>
      </c>
    </row>
    <row r="372" spans="2:65" s="1" customFormat="1" ht="16.5" customHeight="1">
      <c r="B372" s="128"/>
      <c r="C372" s="129" t="s">
        <v>1190</v>
      </c>
      <c r="D372" s="129" t="s">
        <v>180</v>
      </c>
      <c r="E372" s="130" t="s">
        <v>528</v>
      </c>
      <c r="F372" s="131" t="s">
        <v>529</v>
      </c>
      <c r="G372" s="132" t="s">
        <v>305</v>
      </c>
      <c r="H372" s="133">
        <v>50</v>
      </c>
      <c r="I372" s="134"/>
      <c r="J372" s="135">
        <f>ROUND(I372*H372,2)</f>
        <v>0</v>
      </c>
      <c r="K372" s="131" t="s">
        <v>184</v>
      </c>
      <c r="L372" s="33"/>
      <c r="M372" s="136" t="s">
        <v>3</v>
      </c>
      <c r="N372" s="137" t="s">
        <v>48</v>
      </c>
      <c r="P372" s="138">
        <f>O372*H372</f>
        <v>0</v>
      </c>
      <c r="Q372" s="138">
        <v>0</v>
      </c>
      <c r="R372" s="138">
        <f>Q372*H372</f>
        <v>0</v>
      </c>
      <c r="S372" s="138">
        <v>0</v>
      </c>
      <c r="T372" s="139">
        <f>S372*H372</f>
        <v>0</v>
      </c>
      <c r="AR372" s="140" t="s">
        <v>318</v>
      </c>
      <c r="AT372" s="140" t="s">
        <v>180</v>
      </c>
      <c r="AU372" s="140" t="s">
        <v>85</v>
      </c>
      <c r="AY372" s="18" t="s">
        <v>177</v>
      </c>
      <c r="BE372" s="141">
        <f>IF(N372="základní",J372,0)</f>
        <v>0</v>
      </c>
      <c r="BF372" s="141">
        <f>IF(N372="snížená",J372,0)</f>
        <v>0</v>
      </c>
      <c r="BG372" s="141">
        <f>IF(N372="zákl. přenesená",J372,0)</f>
        <v>0</v>
      </c>
      <c r="BH372" s="141">
        <f>IF(N372="sníž. přenesená",J372,0)</f>
        <v>0</v>
      </c>
      <c r="BI372" s="141">
        <f>IF(N372="nulová",J372,0)</f>
        <v>0</v>
      </c>
      <c r="BJ372" s="18" t="s">
        <v>85</v>
      </c>
      <c r="BK372" s="141">
        <f>ROUND(I372*H372,2)</f>
        <v>0</v>
      </c>
      <c r="BL372" s="18" t="s">
        <v>318</v>
      </c>
      <c r="BM372" s="140" t="s">
        <v>2096</v>
      </c>
    </row>
    <row r="373" spans="2:47" s="1" customFormat="1" ht="19.5">
      <c r="B373" s="33"/>
      <c r="D373" s="142" t="s">
        <v>187</v>
      </c>
      <c r="F373" s="143" t="s">
        <v>531</v>
      </c>
      <c r="I373" s="144"/>
      <c r="L373" s="33"/>
      <c r="M373" s="145"/>
      <c r="T373" s="54"/>
      <c r="AT373" s="18" t="s">
        <v>187</v>
      </c>
      <c r="AU373" s="18" t="s">
        <v>85</v>
      </c>
    </row>
    <row r="374" spans="2:47" s="1" customFormat="1" ht="11.25">
      <c r="B374" s="33"/>
      <c r="D374" s="146" t="s">
        <v>189</v>
      </c>
      <c r="F374" s="147" t="s">
        <v>532</v>
      </c>
      <c r="I374" s="144"/>
      <c r="L374" s="33"/>
      <c r="M374" s="189"/>
      <c r="N374" s="190"/>
      <c r="O374" s="190"/>
      <c r="P374" s="190"/>
      <c r="Q374" s="190"/>
      <c r="R374" s="190"/>
      <c r="S374" s="190"/>
      <c r="T374" s="191"/>
      <c r="AT374" s="18" t="s">
        <v>189</v>
      </c>
      <c r="AU374" s="18" t="s">
        <v>85</v>
      </c>
    </row>
    <row r="375" spans="2:12" s="1" customFormat="1" ht="6.95" customHeight="1">
      <c r="B375" s="42"/>
      <c r="C375" s="43"/>
      <c r="D375" s="43"/>
      <c r="E375" s="43"/>
      <c r="F375" s="43"/>
      <c r="G375" s="43"/>
      <c r="H375" s="43"/>
      <c r="I375" s="43"/>
      <c r="J375" s="43"/>
      <c r="K375" s="43"/>
      <c r="L375" s="33"/>
    </row>
  </sheetData>
  <autoFilter ref="C90:K374"/>
  <mergeCells count="9">
    <mergeCell ref="E50:H50"/>
    <mergeCell ref="E81:H81"/>
    <mergeCell ref="E83:H83"/>
    <mergeCell ref="L2:V2"/>
    <mergeCell ref="E7:H7"/>
    <mergeCell ref="E9:H9"/>
    <mergeCell ref="E18:H18"/>
    <mergeCell ref="E27:H27"/>
    <mergeCell ref="E48:H48"/>
  </mergeCells>
  <hyperlinks>
    <hyperlink ref="F96" r:id="rId1" display="https://podminky.urs.cz/item/CS_URS_2022_02/311272227"/>
    <hyperlink ref="F102" r:id="rId2" display="https://podminky.urs.cz/item/CS_URS_2022_02/317142412"/>
    <hyperlink ref="F106" r:id="rId3" display="https://podminky.urs.cz/item/CS_URS_2022_02/317142442"/>
    <hyperlink ref="F110" r:id="rId4" display="https://podminky.urs.cz/item/CS_URS_2022_02/317143453"/>
    <hyperlink ref="F114" r:id="rId5" display="https://podminky.urs.cz/item/CS_URS_2022_02/342271531"/>
    <hyperlink ref="F120" r:id="rId6" display="https://podminky.urs.cz/item/CS_URS_2022_02/342272215"/>
    <hyperlink ref="F127" r:id="rId7" display="https://podminky.urs.cz/item/CS_URS_2022_02/342272245"/>
    <hyperlink ref="F148" r:id="rId8" display="https://podminky.urs.cz/item/CS_URS_2022_02/411321616"/>
    <hyperlink ref="F157" r:id="rId9" display="https://podminky.urs.cz/item/CS_URS_2022_02/411351011"/>
    <hyperlink ref="F165" r:id="rId10" display="https://podminky.urs.cz/item/CS_URS_2022_02/411351012"/>
    <hyperlink ref="F169" r:id="rId11" display="https://podminky.urs.cz/item/CS_URS_2022_02/411354311"/>
    <hyperlink ref="F176" r:id="rId12" display="https://podminky.urs.cz/item/CS_URS_2022_02/411354312"/>
    <hyperlink ref="F180" r:id="rId13" display="https://podminky.urs.cz/item/CS_URS_2022_02/411362021"/>
    <hyperlink ref="F188" r:id="rId14" display="https://podminky.urs.cz/item/CS_URS_2022_02/430321616"/>
    <hyperlink ref="F195" r:id="rId15" display="https://podminky.urs.cz/item/CS_URS_2022_02/430361821"/>
    <hyperlink ref="F199" r:id="rId16" display="https://podminky.urs.cz/item/CS_URS_2022_02/430362021"/>
    <hyperlink ref="F203" r:id="rId17" display="https://podminky.urs.cz/item/CS_URS_2022_02/431351121"/>
    <hyperlink ref="F212" r:id="rId18" display="https://podminky.urs.cz/item/CS_URS_2022_02/431351122"/>
    <hyperlink ref="F215" r:id="rId19" display="https://podminky.urs.cz/item/CS_URS_2022_02/431351128"/>
    <hyperlink ref="F219" r:id="rId20" display="https://podminky.urs.cz/item/CS_URS_2022_02/431351129"/>
    <hyperlink ref="F222" r:id="rId21" display="https://podminky.urs.cz/item/CS_URS_2022_02/434351141"/>
    <hyperlink ref="F227" r:id="rId22" display="https://podminky.urs.cz/item/CS_URS_2022_02/434351142"/>
    <hyperlink ref="F232" r:id="rId23" display="https://podminky.urs.cz/item/CS_URS_2022_02/631319221"/>
    <hyperlink ref="F236" r:id="rId24" display="https://podminky.urs.cz/item/CS_URS_2022_02/632451107"/>
    <hyperlink ref="F240" r:id="rId25" display="https://podminky.urs.cz/item/CS_URS_2022_02/634112113"/>
    <hyperlink ref="F250" r:id="rId26" display="https://podminky.urs.cz/item/CS_URS_2022_02/642942611"/>
    <hyperlink ref="F254" r:id="rId27" display="https://podminky.urs.cz/item/CS_URS_2022_02/642942721"/>
    <hyperlink ref="F266" r:id="rId28" display="https://podminky.urs.cz/item/CS_URS_2022_02/642945111"/>
    <hyperlink ref="F274" r:id="rId29" display="https://podminky.urs.cz/item/CS_URS_2022_02/642945112"/>
    <hyperlink ref="F285" r:id="rId30" display="https://podminky.urs.cz/item/CS_URS_2022_02/949101111"/>
    <hyperlink ref="F291" r:id="rId31" display="https://podminky.urs.cz/item/CS_URS_2022_02/952901111"/>
    <hyperlink ref="F295" r:id="rId32" display="https://podminky.urs.cz/item/CS_URS_2022_02/953961213"/>
    <hyperlink ref="F299" r:id="rId33" display="https://podminky.urs.cz/item/CS_URS_2022_02/953965122"/>
    <hyperlink ref="F303" r:id="rId34" display="https://podminky.urs.cz/item/CS_URS_2022_02/974042564"/>
    <hyperlink ref="F309" r:id="rId35" display="https://podminky.urs.cz/item/CS_URS_2022_02/997013213"/>
    <hyperlink ref="F313" r:id="rId36" display="https://podminky.urs.cz/item/CS_URS_2022_02/997013219"/>
    <hyperlink ref="F318" r:id="rId37" display="https://podminky.urs.cz/item/CS_URS_2022_02/997013501"/>
    <hyperlink ref="F322" r:id="rId38" display="https://podminky.urs.cz/item/CS_URS_2022_02/997013509"/>
    <hyperlink ref="F327" r:id="rId39" display="https://podminky.urs.cz/item/CS_URS_2022_02/997013871"/>
    <hyperlink ref="F332" r:id="rId40" display="https://podminky.urs.cz/item/CS_URS_2022_02/998018002"/>
    <hyperlink ref="F338" r:id="rId41" display="https://podminky.urs.cz/item/CS_URS_2022_02/711141559"/>
    <hyperlink ref="F347" r:id="rId42" display="https://podminky.urs.cz/item/CS_URS_2022_02/998711102"/>
    <hyperlink ref="F351" r:id="rId43" display="https://podminky.urs.cz/item/CS_URS_2022_02/998711181"/>
    <hyperlink ref="F356" r:id="rId44" display="https://podminky.urs.cz/item/CS_URS_2022_02/767995114"/>
    <hyperlink ref="F365" r:id="rId45" display="https://podminky.urs.cz/item/CS_URS_2022_02/998767102"/>
    <hyperlink ref="F369" r:id="rId46" display="https://podminky.urs.cz/item/CS_URS_2022_02/998767181"/>
    <hyperlink ref="F374" r:id="rId47"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32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120</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30" customHeight="1">
      <c r="B9" s="33"/>
      <c r="E9" s="281" t="s">
        <v>2097</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ROUND(J88,2)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ROUND((SUM(BE88:BE321)),2)</f>
        <v>0</v>
      </c>
      <c r="I33" s="90">
        <v>0.21</v>
      </c>
      <c r="J33" s="89">
        <f>ROUND(((SUM(BE88:BE321))*I33),2)</f>
        <v>0</v>
      </c>
      <c r="L33" s="33"/>
    </row>
    <row r="34" spans="2:12" s="1" customFormat="1" ht="14.45" customHeight="1">
      <c r="B34" s="33"/>
      <c r="E34" s="28" t="s">
        <v>49</v>
      </c>
      <c r="F34" s="89">
        <f>ROUND((SUM(BF88:BF321)),2)</f>
        <v>0</v>
      </c>
      <c r="I34" s="90">
        <v>0.15</v>
      </c>
      <c r="J34" s="89">
        <f>ROUND(((SUM(BF88:BF321))*I34),2)</f>
        <v>0</v>
      </c>
      <c r="L34" s="33"/>
    </row>
    <row r="35" spans="2:12" s="1" customFormat="1" ht="14.45" customHeight="1" hidden="1">
      <c r="B35" s="33"/>
      <c r="E35" s="28" t="s">
        <v>50</v>
      </c>
      <c r="F35" s="89">
        <f>ROUND((SUM(BG88:BG321)),2)</f>
        <v>0</v>
      </c>
      <c r="I35" s="90">
        <v>0.21</v>
      </c>
      <c r="J35" s="89">
        <f>0</f>
        <v>0</v>
      </c>
      <c r="L35" s="33"/>
    </row>
    <row r="36" spans="2:12" s="1" customFormat="1" ht="14.45" customHeight="1" hidden="1">
      <c r="B36" s="33"/>
      <c r="E36" s="28" t="s">
        <v>51</v>
      </c>
      <c r="F36" s="89">
        <f>ROUND((SUM(BH88:BH321)),2)</f>
        <v>0</v>
      </c>
      <c r="I36" s="90">
        <v>0.15</v>
      </c>
      <c r="J36" s="89">
        <f>0</f>
        <v>0</v>
      </c>
      <c r="L36" s="33"/>
    </row>
    <row r="37" spans="2:12" s="1" customFormat="1" ht="14.45" customHeight="1" hidden="1">
      <c r="B37" s="33"/>
      <c r="E37" s="28" t="s">
        <v>52</v>
      </c>
      <c r="F37" s="89">
        <f>ROUND((SUM(BI88:BI321)),2)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30" customHeight="1">
      <c r="B50" s="33"/>
      <c r="E50" s="281" t="str">
        <f>E9</f>
        <v>E12 - Osazení výplní pláště, rozvody TZB, vnitřní omítky, těžké plovoucí podlahy, sta. úpravy a oprava ter</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J88</f>
        <v>0</v>
      </c>
      <c r="L59" s="33"/>
      <c r="AU59" s="18" t="s">
        <v>152</v>
      </c>
    </row>
    <row r="60" spans="2:12" s="8" customFormat="1" ht="24.95" customHeight="1">
      <c r="B60" s="100"/>
      <c r="D60" s="101" t="s">
        <v>153</v>
      </c>
      <c r="E60" s="102"/>
      <c r="F60" s="102"/>
      <c r="G60" s="102"/>
      <c r="H60" s="102"/>
      <c r="I60" s="102"/>
      <c r="J60" s="103">
        <f>J89</f>
        <v>0</v>
      </c>
      <c r="L60" s="100"/>
    </row>
    <row r="61" spans="2:12" s="9" customFormat="1" ht="19.9" customHeight="1">
      <c r="B61" s="104"/>
      <c r="D61" s="105" t="s">
        <v>546</v>
      </c>
      <c r="E61" s="106"/>
      <c r="F61" s="106"/>
      <c r="G61" s="106"/>
      <c r="H61" s="106"/>
      <c r="I61" s="106"/>
      <c r="J61" s="107">
        <f>J90</f>
        <v>0</v>
      </c>
      <c r="L61" s="104"/>
    </row>
    <row r="62" spans="2:12" s="9" customFormat="1" ht="19.9" customHeight="1">
      <c r="B62" s="104"/>
      <c r="D62" s="105" t="s">
        <v>325</v>
      </c>
      <c r="E62" s="106"/>
      <c r="F62" s="106"/>
      <c r="G62" s="106"/>
      <c r="H62" s="106"/>
      <c r="I62" s="106"/>
      <c r="J62" s="107">
        <f>J190</f>
        <v>0</v>
      </c>
      <c r="L62" s="104"/>
    </row>
    <row r="63" spans="2:12" s="9" customFormat="1" ht="19.9" customHeight="1">
      <c r="B63" s="104"/>
      <c r="D63" s="105" t="s">
        <v>154</v>
      </c>
      <c r="E63" s="106"/>
      <c r="F63" s="106"/>
      <c r="G63" s="106"/>
      <c r="H63" s="106"/>
      <c r="I63" s="106"/>
      <c r="J63" s="107">
        <f>J211</f>
        <v>0</v>
      </c>
      <c r="L63" s="104"/>
    </row>
    <row r="64" spans="2:12" s="9" customFormat="1" ht="19.9" customHeight="1">
      <c r="B64" s="104"/>
      <c r="D64" s="105" t="s">
        <v>326</v>
      </c>
      <c r="E64" s="106"/>
      <c r="F64" s="106"/>
      <c r="G64" s="106"/>
      <c r="H64" s="106"/>
      <c r="I64" s="106"/>
      <c r="J64" s="107">
        <f>J234</f>
        <v>0</v>
      </c>
      <c r="L64" s="104"/>
    </row>
    <row r="65" spans="2:12" s="8" customFormat="1" ht="24.95" customHeight="1">
      <c r="B65" s="100"/>
      <c r="D65" s="101" t="s">
        <v>155</v>
      </c>
      <c r="E65" s="102"/>
      <c r="F65" s="102"/>
      <c r="G65" s="102"/>
      <c r="H65" s="102"/>
      <c r="I65" s="102"/>
      <c r="J65" s="103">
        <f>J239</f>
        <v>0</v>
      </c>
      <c r="L65" s="100"/>
    </row>
    <row r="66" spans="2:12" s="9" customFormat="1" ht="19.9" customHeight="1">
      <c r="B66" s="104"/>
      <c r="D66" s="105" t="s">
        <v>548</v>
      </c>
      <c r="E66" s="106"/>
      <c r="F66" s="106"/>
      <c r="G66" s="106"/>
      <c r="H66" s="106"/>
      <c r="I66" s="106"/>
      <c r="J66" s="107">
        <f>J240</f>
        <v>0</v>
      </c>
      <c r="L66" s="104"/>
    </row>
    <row r="67" spans="2:12" s="9" customFormat="1" ht="19.9" customHeight="1">
      <c r="B67" s="104"/>
      <c r="D67" s="105" t="s">
        <v>1475</v>
      </c>
      <c r="E67" s="106"/>
      <c r="F67" s="106"/>
      <c r="G67" s="106"/>
      <c r="H67" s="106"/>
      <c r="I67" s="106"/>
      <c r="J67" s="107">
        <f>J266</f>
        <v>0</v>
      </c>
      <c r="L67" s="104"/>
    </row>
    <row r="68" spans="2:12" s="8" customFormat="1" ht="24.95" customHeight="1">
      <c r="B68" s="100"/>
      <c r="D68" s="101" t="s">
        <v>161</v>
      </c>
      <c r="E68" s="102"/>
      <c r="F68" s="102"/>
      <c r="G68" s="102"/>
      <c r="H68" s="102"/>
      <c r="I68" s="102"/>
      <c r="J68" s="103">
        <f>J318</f>
        <v>0</v>
      </c>
      <c r="L68" s="100"/>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162</v>
      </c>
      <c r="L75" s="33"/>
    </row>
    <row r="76" spans="2:12" s="1" customFormat="1" ht="6.95" customHeight="1">
      <c r="B76" s="33"/>
      <c r="L76" s="33"/>
    </row>
    <row r="77" spans="2:12" s="1" customFormat="1" ht="12" customHeight="1">
      <c r="B77" s="33"/>
      <c r="C77" s="28" t="s">
        <v>17</v>
      </c>
      <c r="L77" s="33"/>
    </row>
    <row r="78" spans="2:12" s="1" customFormat="1" ht="16.5" customHeight="1">
      <c r="B78" s="33"/>
      <c r="E78" s="315" t="str">
        <f>E7</f>
        <v>ZŠ P. HOLÉHO - PŘESTAVBA PLAVECKÉHO PAVILONU</v>
      </c>
      <c r="F78" s="316"/>
      <c r="G78" s="316"/>
      <c r="H78" s="316"/>
      <c r="L78" s="33"/>
    </row>
    <row r="79" spans="2:12" s="1" customFormat="1" ht="12" customHeight="1">
      <c r="B79" s="33"/>
      <c r="C79" s="28" t="s">
        <v>146</v>
      </c>
      <c r="L79" s="33"/>
    </row>
    <row r="80" spans="2:12" s="1" customFormat="1" ht="30" customHeight="1">
      <c r="B80" s="33"/>
      <c r="E80" s="281" t="str">
        <f>E9</f>
        <v>E12 - Osazení výplní pláště, rozvody TZB, vnitřní omítky, těžké plovoucí podlahy, sta. úpravy a oprava ter</v>
      </c>
      <c r="F80" s="317"/>
      <c r="G80" s="317"/>
      <c r="H80" s="317"/>
      <c r="L80" s="33"/>
    </row>
    <row r="81" spans="2:12" s="1" customFormat="1" ht="6.95" customHeight="1">
      <c r="B81" s="33"/>
      <c r="L81" s="33"/>
    </row>
    <row r="82" spans="2:12" s="1" customFormat="1" ht="12" customHeight="1">
      <c r="B82" s="33"/>
      <c r="C82" s="28" t="s">
        <v>21</v>
      </c>
      <c r="F82" s="26" t="str">
        <f>F12</f>
        <v>Prokopa Holého 2632, Louny, 440 01</v>
      </c>
      <c r="I82" s="28" t="s">
        <v>23</v>
      </c>
      <c r="J82" s="50" t="str">
        <f>IF(J12="","",J12)</f>
        <v>21. 9. 2022</v>
      </c>
      <c r="L82" s="33"/>
    </row>
    <row r="83" spans="2:12" s="1" customFormat="1" ht="6.95" customHeight="1">
      <c r="B83" s="33"/>
      <c r="L83" s="33"/>
    </row>
    <row r="84" spans="2:12" s="1" customFormat="1" ht="15.2" customHeight="1">
      <c r="B84" s="33"/>
      <c r="C84" s="28" t="s">
        <v>25</v>
      </c>
      <c r="F84" s="26" t="str">
        <f>E15</f>
        <v>Město Louny</v>
      </c>
      <c r="I84" s="28" t="s">
        <v>32</v>
      </c>
      <c r="J84" s="31" t="str">
        <f>E21</f>
        <v>RYSIK Design s.r.o.</v>
      </c>
      <c r="L84" s="33"/>
    </row>
    <row r="85" spans="2:12" s="1" customFormat="1" ht="25.7" customHeight="1">
      <c r="B85" s="33"/>
      <c r="C85" s="28" t="s">
        <v>30</v>
      </c>
      <c r="F85" s="26" t="str">
        <f>IF(E18="","",E18)</f>
        <v>Vyplň údaj</v>
      </c>
      <c r="I85" s="28" t="s">
        <v>37</v>
      </c>
      <c r="J85" s="31" t="str">
        <f>E24</f>
        <v>ing. Kateřina Tumpachová</v>
      </c>
      <c r="L85" s="33"/>
    </row>
    <row r="86" spans="2:12" s="1" customFormat="1" ht="10.35" customHeight="1">
      <c r="B86" s="33"/>
      <c r="L86" s="33"/>
    </row>
    <row r="87" spans="2:20" s="10" customFormat="1" ht="29.25" customHeight="1">
      <c r="B87" s="108"/>
      <c r="C87" s="109" t="s">
        <v>163</v>
      </c>
      <c r="D87" s="110" t="s">
        <v>62</v>
      </c>
      <c r="E87" s="110" t="s">
        <v>58</v>
      </c>
      <c r="F87" s="110" t="s">
        <v>59</v>
      </c>
      <c r="G87" s="110" t="s">
        <v>164</v>
      </c>
      <c r="H87" s="110" t="s">
        <v>165</v>
      </c>
      <c r="I87" s="110" t="s">
        <v>166</v>
      </c>
      <c r="J87" s="110" t="s">
        <v>151</v>
      </c>
      <c r="K87" s="111" t="s">
        <v>167</v>
      </c>
      <c r="L87" s="108"/>
      <c r="M87" s="57" t="s">
        <v>3</v>
      </c>
      <c r="N87" s="58" t="s">
        <v>47</v>
      </c>
      <c r="O87" s="58" t="s">
        <v>168</v>
      </c>
      <c r="P87" s="58" t="s">
        <v>169</v>
      </c>
      <c r="Q87" s="58" t="s">
        <v>170</v>
      </c>
      <c r="R87" s="58" t="s">
        <v>171</v>
      </c>
      <c r="S87" s="58" t="s">
        <v>172</v>
      </c>
      <c r="T87" s="59" t="s">
        <v>173</v>
      </c>
    </row>
    <row r="88" spans="2:63" s="1" customFormat="1" ht="22.9" customHeight="1">
      <c r="B88" s="33"/>
      <c r="C88" s="62" t="s">
        <v>174</v>
      </c>
      <c r="J88" s="112">
        <f>BK88</f>
        <v>0</v>
      </c>
      <c r="L88" s="33"/>
      <c r="M88" s="60"/>
      <c r="N88" s="51"/>
      <c r="O88" s="51"/>
      <c r="P88" s="113">
        <f>P89+P239+P318</f>
        <v>0</v>
      </c>
      <c r="Q88" s="51"/>
      <c r="R88" s="113">
        <f>R89+R239+R318</f>
        <v>150.45908173350003</v>
      </c>
      <c r="S88" s="51"/>
      <c r="T88" s="114">
        <f>T89+T239+T318</f>
        <v>6.33</v>
      </c>
      <c r="AT88" s="18" t="s">
        <v>76</v>
      </c>
      <c r="AU88" s="18" t="s">
        <v>152</v>
      </c>
      <c r="BK88" s="115">
        <f>BK89+BK239+BK318</f>
        <v>0</v>
      </c>
    </row>
    <row r="89" spans="2:63" s="11" customFormat="1" ht="25.9" customHeight="1">
      <c r="B89" s="116"/>
      <c r="D89" s="117" t="s">
        <v>76</v>
      </c>
      <c r="E89" s="118" t="s">
        <v>175</v>
      </c>
      <c r="F89" s="118" t="s">
        <v>176</v>
      </c>
      <c r="I89" s="119"/>
      <c r="J89" s="120">
        <f>BK89</f>
        <v>0</v>
      </c>
      <c r="L89" s="116"/>
      <c r="M89" s="121"/>
      <c r="P89" s="122">
        <f>P90+P190+P211+P234</f>
        <v>0</v>
      </c>
      <c r="R89" s="122">
        <f>R90+R190+R211+R234</f>
        <v>144.91656222500004</v>
      </c>
      <c r="T89" s="123">
        <f>T90+T190+T211+T234</f>
        <v>6.33</v>
      </c>
      <c r="AR89" s="117" t="s">
        <v>85</v>
      </c>
      <c r="AT89" s="124" t="s">
        <v>76</v>
      </c>
      <c r="AU89" s="124" t="s">
        <v>77</v>
      </c>
      <c r="AY89" s="117" t="s">
        <v>177</v>
      </c>
      <c r="BK89" s="125">
        <f>BK90+BK190+BK211+BK234</f>
        <v>0</v>
      </c>
    </row>
    <row r="90" spans="2:63" s="11" customFormat="1" ht="22.9" customHeight="1">
      <c r="B90" s="116"/>
      <c r="D90" s="117" t="s">
        <v>76</v>
      </c>
      <c r="E90" s="126" t="s">
        <v>233</v>
      </c>
      <c r="F90" s="126" t="s">
        <v>625</v>
      </c>
      <c r="I90" s="119"/>
      <c r="J90" s="127">
        <f>BK90</f>
        <v>0</v>
      </c>
      <c r="L90" s="116"/>
      <c r="M90" s="121"/>
      <c r="P90" s="122">
        <f>SUM(P91:P189)</f>
        <v>0</v>
      </c>
      <c r="R90" s="122">
        <f>SUM(R91:R189)</f>
        <v>144.75657822500003</v>
      </c>
      <c r="T90" s="123">
        <f>SUM(T91:T189)</f>
        <v>0</v>
      </c>
      <c r="AR90" s="117" t="s">
        <v>85</v>
      </c>
      <c r="AT90" s="124" t="s">
        <v>76</v>
      </c>
      <c r="AU90" s="124" t="s">
        <v>85</v>
      </c>
      <c r="AY90" s="117" t="s">
        <v>177</v>
      </c>
      <c r="BK90" s="125">
        <f>SUM(BK91:BK189)</f>
        <v>0</v>
      </c>
    </row>
    <row r="91" spans="2:65" s="1" customFormat="1" ht="24.2" customHeight="1">
      <c r="B91" s="128"/>
      <c r="C91" s="129" t="s">
        <v>85</v>
      </c>
      <c r="D91" s="129" t="s">
        <v>180</v>
      </c>
      <c r="E91" s="130" t="s">
        <v>2098</v>
      </c>
      <c r="F91" s="131" t="s">
        <v>2099</v>
      </c>
      <c r="G91" s="132" t="s">
        <v>332</v>
      </c>
      <c r="H91" s="133">
        <v>1693.94</v>
      </c>
      <c r="I91" s="134"/>
      <c r="J91" s="135">
        <f>ROUND(I91*H91,2)</f>
        <v>0</v>
      </c>
      <c r="K91" s="131" t="s">
        <v>184</v>
      </c>
      <c r="L91" s="33"/>
      <c r="M91" s="136" t="s">
        <v>3</v>
      </c>
      <c r="N91" s="137" t="s">
        <v>48</v>
      </c>
      <c r="P91" s="138">
        <f>O91*H91</f>
        <v>0</v>
      </c>
      <c r="Q91" s="138">
        <v>0.00735</v>
      </c>
      <c r="R91" s="138">
        <f>Q91*H91</f>
        <v>12.450459</v>
      </c>
      <c r="S91" s="138">
        <v>0</v>
      </c>
      <c r="T91" s="139">
        <f>S91*H91</f>
        <v>0</v>
      </c>
      <c r="AR91" s="140" t="s">
        <v>185</v>
      </c>
      <c r="AT91" s="140" t="s">
        <v>180</v>
      </c>
      <c r="AU91" s="140" t="s">
        <v>87</v>
      </c>
      <c r="AY91" s="18" t="s">
        <v>177</v>
      </c>
      <c r="BE91" s="141">
        <f>IF(N91="základní",J91,0)</f>
        <v>0</v>
      </c>
      <c r="BF91" s="141">
        <f>IF(N91="snížená",J91,0)</f>
        <v>0</v>
      </c>
      <c r="BG91" s="141">
        <f>IF(N91="zákl. přenesená",J91,0)</f>
        <v>0</v>
      </c>
      <c r="BH91" s="141">
        <f>IF(N91="sníž. přenesená",J91,0)</f>
        <v>0</v>
      </c>
      <c r="BI91" s="141">
        <f>IF(N91="nulová",J91,0)</f>
        <v>0</v>
      </c>
      <c r="BJ91" s="18" t="s">
        <v>85</v>
      </c>
      <c r="BK91" s="141">
        <f>ROUND(I91*H91,2)</f>
        <v>0</v>
      </c>
      <c r="BL91" s="18" t="s">
        <v>185</v>
      </c>
      <c r="BM91" s="140" t="s">
        <v>2100</v>
      </c>
    </row>
    <row r="92" spans="2:47" s="1" customFormat="1" ht="19.5">
      <c r="B92" s="33"/>
      <c r="D92" s="142" t="s">
        <v>187</v>
      </c>
      <c r="F92" s="143" t="s">
        <v>2101</v>
      </c>
      <c r="I92" s="144"/>
      <c r="L92" s="33"/>
      <c r="M92" s="145"/>
      <c r="T92" s="54"/>
      <c r="AT92" s="18" t="s">
        <v>187</v>
      </c>
      <c r="AU92" s="18" t="s">
        <v>87</v>
      </c>
    </row>
    <row r="93" spans="2:47" s="1" customFormat="1" ht="11.25">
      <c r="B93" s="33"/>
      <c r="D93" s="146" t="s">
        <v>189</v>
      </c>
      <c r="F93" s="147" t="s">
        <v>2102</v>
      </c>
      <c r="I93" s="144"/>
      <c r="L93" s="33"/>
      <c r="M93" s="145"/>
      <c r="T93" s="54"/>
      <c r="AT93" s="18" t="s">
        <v>189</v>
      </c>
      <c r="AU93" s="18" t="s">
        <v>87</v>
      </c>
    </row>
    <row r="94" spans="2:65" s="1" customFormat="1" ht="24.2" customHeight="1">
      <c r="B94" s="128"/>
      <c r="C94" s="129" t="s">
        <v>87</v>
      </c>
      <c r="D94" s="129" t="s">
        <v>180</v>
      </c>
      <c r="E94" s="130" t="s">
        <v>2103</v>
      </c>
      <c r="F94" s="131" t="s">
        <v>2104</v>
      </c>
      <c r="G94" s="132" t="s">
        <v>332</v>
      </c>
      <c r="H94" s="133">
        <v>1693.94</v>
      </c>
      <c r="I94" s="134"/>
      <c r="J94" s="135">
        <f>ROUND(I94*H94,2)</f>
        <v>0</v>
      </c>
      <c r="K94" s="131" t="s">
        <v>184</v>
      </c>
      <c r="L94" s="33"/>
      <c r="M94" s="136" t="s">
        <v>3</v>
      </c>
      <c r="N94" s="137" t="s">
        <v>48</v>
      </c>
      <c r="P94" s="138">
        <f>O94*H94</f>
        <v>0</v>
      </c>
      <c r="Q94" s="138">
        <v>0.000263</v>
      </c>
      <c r="R94" s="138">
        <f>Q94*H94</f>
        <v>0.44550622</v>
      </c>
      <c r="S94" s="138">
        <v>0</v>
      </c>
      <c r="T94" s="139">
        <f>S94*H94</f>
        <v>0</v>
      </c>
      <c r="AR94" s="140" t="s">
        <v>185</v>
      </c>
      <c r="AT94" s="140" t="s">
        <v>180</v>
      </c>
      <c r="AU94" s="140" t="s">
        <v>87</v>
      </c>
      <c r="AY94" s="18" t="s">
        <v>177</v>
      </c>
      <c r="BE94" s="141">
        <f>IF(N94="základní",J94,0)</f>
        <v>0</v>
      </c>
      <c r="BF94" s="141">
        <f>IF(N94="snížená",J94,0)</f>
        <v>0</v>
      </c>
      <c r="BG94" s="141">
        <f>IF(N94="zákl. přenesená",J94,0)</f>
        <v>0</v>
      </c>
      <c r="BH94" s="141">
        <f>IF(N94="sníž. přenesená",J94,0)</f>
        <v>0</v>
      </c>
      <c r="BI94" s="141">
        <f>IF(N94="nulová",J94,0)</f>
        <v>0</v>
      </c>
      <c r="BJ94" s="18" t="s">
        <v>85</v>
      </c>
      <c r="BK94" s="141">
        <f>ROUND(I94*H94,2)</f>
        <v>0</v>
      </c>
      <c r="BL94" s="18" t="s">
        <v>185</v>
      </c>
      <c r="BM94" s="140" t="s">
        <v>2105</v>
      </c>
    </row>
    <row r="95" spans="2:47" s="1" customFormat="1" ht="19.5">
      <c r="B95" s="33"/>
      <c r="D95" s="142" t="s">
        <v>187</v>
      </c>
      <c r="F95" s="143" t="s">
        <v>2106</v>
      </c>
      <c r="I95" s="144"/>
      <c r="L95" s="33"/>
      <c r="M95" s="145"/>
      <c r="T95" s="54"/>
      <c r="AT95" s="18" t="s">
        <v>187</v>
      </c>
      <c r="AU95" s="18" t="s">
        <v>87</v>
      </c>
    </row>
    <row r="96" spans="2:47" s="1" customFormat="1" ht="11.25">
      <c r="B96" s="33"/>
      <c r="D96" s="146" t="s">
        <v>189</v>
      </c>
      <c r="F96" s="147" t="s">
        <v>2107</v>
      </c>
      <c r="I96" s="144"/>
      <c r="L96" s="33"/>
      <c r="M96" s="145"/>
      <c r="T96" s="54"/>
      <c r="AT96" s="18" t="s">
        <v>189</v>
      </c>
      <c r="AU96" s="18" t="s">
        <v>87</v>
      </c>
    </row>
    <row r="97" spans="2:65" s="1" customFormat="1" ht="24.2" customHeight="1">
      <c r="B97" s="128"/>
      <c r="C97" s="129" t="s">
        <v>198</v>
      </c>
      <c r="D97" s="129" t="s">
        <v>180</v>
      </c>
      <c r="E97" s="130" t="s">
        <v>2103</v>
      </c>
      <c r="F97" s="131" t="s">
        <v>2104</v>
      </c>
      <c r="G97" s="132" t="s">
        <v>332</v>
      </c>
      <c r="H97" s="133">
        <v>1621.044</v>
      </c>
      <c r="I97" s="134"/>
      <c r="J97" s="135">
        <f>ROUND(I97*H97,2)</f>
        <v>0</v>
      </c>
      <c r="K97" s="131" t="s">
        <v>184</v>
      </c>
      <c r="L97" s="33"/>
      <c r="M97" s="136" t="s">
        <v>3</v>
      </c>
      <c r="N97" s="137" t="s">
        <v>48</v>
      </c>
      <c r="P97" s="138">
        <f>O97*H97</f>
        <v>0</v>
      </c>
      <c r="Q97" s="138">
        <v>0.00026</v>
      </c>
      <c r="R97" s="138">
        <f>Q97*H97</f>
        <v>0.42147144</v>
      </c>
      <c r="S97" s="138">
        <v>0</v>
      </c>
      <c r="T97" s="139">
        <f>S97*H97</f>
        <v>0</v>
      </c>
      <c r="AR97" s="140" t="s">
        <v>185</v>
      </c>
      <c r="AT97" s="140" t="s">
        <v>180</v>
      </c>
      <c r="AU97" s="140" t="s">
        <v>87</v>
      </c>
      <c r="AY97" s="18" t="s">
        <v>177</v>
      </c>
      <c r="BE97" s="141">
        <f>IF(N97="základní",J97,0)</f>
        <v>0</v>
      </c>
      <c r="BF97" s="141">
        <f>IF(N97="snížená",J97,0)</f>
        <v>0</v>
      </c>
      <c r="BG97" s="141">
        <f>IF(N97="zákl. přenesená",J97,0)</f>
        <v>0</v>
      </c>
      <c r="BH97" s="141">
        <f>IF(N97="sníž. přenesená",J97,0)</f>
        <v>0</v>
      </c>
      <c r="BI97" s="141">
        <f>IF(N97="nulová",J97,0)</f>
        <v>0</v>
      </c>
      <c r="BJ97" s="18" t="s">
        <v>85</v>
      </c>
      <c r="BK97" s="141">
        <f>ROUND(I97*H97,2)</f>
        <v>0</v>
      </c>
      <c r="BL97" s="18" t="s">
        <v>185</v>
      </c>
      <c r="BM97" s="140" t="s">
        <v>2108</v>
      </c>
    </row>
    <row r="98" spans="2:47" s="1" customFormat="1" ht="19.5">
      <c r="B98" s="33"/>
      <c r="D98" s="142" t="s">
        <v>187</v>
      </c>
      <c r="F98" s="143" t="s">
        <v>2106</v>
      </c>
      <c r="I98" s="144"/>
      <c r="L98" s="33"/>
      <c r="M98" s="145"/>
      <c r="T98" s="54"/>
      <c r="AT98" s="18" t="s">
        <v>187</v>
      </c>
      <c r="AU98" s="18" t="s">
        <v>87</v>
      </c>
    </row>
    <row r="99" spans="2:47" s="1" customFormat="1" ht="11.25">
      <c r="B99" s="33"/>
      <c r="D99" s="146" t="s">
        <v>189</v>
      </c>
      <c r="F99" s="147" t="s">
        <v>2107</v>
      </c>
      <c r="I99" s="144"/>
      <c r="L99" s="33"/>
      <c r="M99" s="145"/>
      <c r="T99" s="54"/>
      <c r="AT99" s="18" t="s">
        <v>189</v>
      </c>
      <c r="AU99" s="18" t="s">
        <v>87</v>
      </c>
    </row>
    <row r="100" spans="2:51" s="12" customFormat="1" ht="11.25">
      <c r="B100" s="149"/>
      <c r="D100" s="142" t="s">
        <v>193</v>
      </c>
      <c r="E100" s="150" t="s">
        <v>3</v>
      </c>
      <c r="F100" s="151" t="s">
        <v>2109</v>
      </c>
      <c r="H100" s="152">
        <v>1621.044</v>
      </c>
      <c r="I100" s="153"/>
      <c r="L100" s="149"/>
      <c r="M100" s="154"/>
      <c r="T100" s="155"/>
      <c r="AT100" s="150" t="s">
        <v>193</v>
      </c>
      <c r="AU100" s="150" t="s">
        <v>87</v>
      </c>
      <c r="AV100" s="12" t="s">
        <v>87</v>
      </c>
      <c r="AW100" s="12" t="s">
        <v>36</v>
      </c>
      <c r="AX100" s="12" t="s">
        <v>85</v>
      </c>
      <c r="AY100" s="150" t="s">
        <v>177</v>
      </c>
    </row>
    <row r="101" spans="2:65" s="1" customFormat="1" ht="24.2" customHeight="1">
      <c r="B101" s="128"/>
      <c r="C101" s="129" t="s">
        <v>185</v>
      </c>
      <c r="D101" s="129" t="s">
        <v>180</v>
      </c>
      <c r="E101" s="130" t="s">
        <v>2110</v>
      </c>
      <c r="F101" s="131" t="s">
        <v>2111</v>
      </c>
      <c r="G101" s="132" t="s">
        <v>332</v>
      </c>
      <c r="H101" s="133">
        <v>1693.94</v>
      </c>
      <c r="I101" s="134"/>
      <c r="J101" s="135">
        <f>ROUND(I101*H101,2)</f>
        <v>0</v>
      </c>
      <c r="K101" s="131" t="s">
        <v>184</v>
      </c>
      <c r="L101" s="33"/>
      <c r="M101" s="136" t="s">
        <v>3</v>
      </c>
      <c r="N101" s="137" t="s">
        <v>48</v>
      </c>
      <c r="P101" s="138">
        <f>O101*H101</f>
        <v>0</v>
      </c>
      <c r="Q101" s="138">
        <v>0.004384</v>
      </c>
      <c r="R101" s="138">
        <f>Q101*H101</f>
        <v>7.42623296</v>
      </c>
      <c r="S101" s="138">
        <v>0</v>
      </c>
      <c r="T101" s="139">
        <f>S101*H101</f>
        <v>0</v>
      </c>
      <c r="AR101" s="140" t="s">
        <v>185</v>
      </c>
      <c r="AT101" s="140" t="s">
        <v>180</v>
      </c>
      <c r="AU101" s="140" t="s">
        <v>87</v>
      </c>
      <c r="AY101" s="18" t="s">
        <v>177</v>
      </c>
      <c r="BE101" s="141">
        <f>IF(N101="základní",J101,0)</f>
        <v>0</v>
      </c>
      <c r="BF101" s="141">
        <f>IF(N101="snížená",J101,0)</f>
        <v>0</v>
      </c>
      <c r="BG101" s="141">
        <f>IF(N101="zákl. přenesená",J101,0)</f>
        <v>0</v>
      </c>
      <c r="BH101" s="141">
        <f>IF(N101="sníž. přenesená",J101,0)</f>
        <v>0</v>
      </c>
      <c r="BI101" s="141">
        <f>IF(N101="nulová",J101,0)</f>
        <v>0</v>
      </c>
      <c r="BJ101" s="18" t="s">
        <v>85</v>
      </c>
      <c r="BK101" s="141">
        <f>ROUND(I101*H101,2)</f>
        <v>0</v>
      </c>
      <c r="BL101" s="18" t="s">
        <v>185</v>
      </c>
      <c r="BM101" s="140" t="s">
        <v>2112</v>
      </c>
    </row>
    <row r="102" spans="2:47" s="1" customFormat="1" ht="19.5">
      <c r="B102" s="33"/>
      <c r="D102" s="142" t="s">
        <v>187</v>
      </c>
      <c r="F102" s="143" t="s">
        <v>2113</v>
      </c>
      <c r="I102" s="144"/>
      <c r="L102" s="33"/>
      <c r="M102" s="145"/>
      <c r="T102" s="54"/>
      <c r="AT102" s="18" t="s">
        <v>187</v>
      </c>
      <c r="AU102" s="18" t="s">
        <v>87</v>
      </c>
    </row>
    <row r="103" spans="2:47" s="1" customFormat="1" ht="11.25">
      <c r="B103" s="33"/>
      <c r="D103" s="146" t="s">
        <v>189</v>
      </c>
      <c r="F103" s="147" t="s">
        <v>2114</v>
      </c>
      <c r="I103" s="144"/>
      <c r="L103" s="33"/>
      <c r="M103" s="145"/>
      <c r="T103" s="54"/>
      <c r="AT103" s="18" t="s">
        <v>189</v>
      </c>
      <c r="AU103" s="18" t="s">
        <v>87</v>
      </c>
    </row>
    <row r="104" spans="2:47" s="1" customFormat="1" ht="29.25">
      <c r="B104" s="33"/>
      <c r="D104" s="142" t="s">
        <v>191</v>
      </c>
      <c r="F104" s="148" t="s">
        <v>638</v>
      </c>
      <c r="I104" s="144"/>
      <c r="L104" s="33"/>
      <c r="M104" s="145"/>
      <c r="T104" s="54"/>
      <c r="AT104" s="18" t="s">
        <v>191</v>
      </c>
      <c r="AU104" s="18" t="s">
        <v>87</v>
      </c>
    </row>
    <row r="105" spans="2:65" s="1" customFormat="1" ht="24.2" customHeight="1">
      <c r="B105" s="128"/>
      <c r="C105" s="129" t="s">
        <v>200</v>
      </c>
      <c r="D105" s="129" t="s">
        <v>180</v>
      </c>
      <c r="E105" s="130" t="s">
        <v>2115</v>
      </c>
      <c r="F105" s="131" t="s">
        <v>2116</v>
      </c>
      <c r="G105" s="132" t="s">
        <v>332</v>
      </c>
      <c r="H105" s="133">
        <v>1693.94</v>
      </c>
      <c r="I105" s="134"/>
      <c r="J105" s="135">
        <f>ROUND(I105*H105,2)</f>
        <v>0</v>
      </c>
      <c r="K105" s="131" t="s">
        <v>184</v>
      </c>
      <c r="L105" s="33"/>
      <c r="M105" s="136" t="s">
        <v>3</v>
      </c>
      <c r="N105" s="137" t="s">
        <v>48</v>
      </c>
      <c r="P105" s="138">
        <f>O105*H105</f>
        <v>0</v>
      </c>
      <c r="Q105" s="138">
        <v>0.0154</v>
      </c>
      <c r="R105" s="138">
        <f>Q105*H105</f>
        <v>26.086676</v>
      </c>
      <c r="S105" s="138">
        <v>0</v>
      </c>
      <c r="T105" s="139">
        <f>S105*H105</f>
        <v>0</v>
      </c>
      <c r="AR105" s="140" t="s">
        <v>185</v>
      </c>
      <c r="AT105" s="140" t="s">
        <v>180</v>
      </c>
      <c r="AU105" s="140" t="s">
        <v>87</v>
      </c>
      <c r="AY105" s="18" t="s">
        <v>177</v>
      </c>
      <c r="BE105" s="141">
        <f>IF(N105="základní",J105,0)</f>
        <v>0</v>
      </c>
      <c r="BF105" s="141">
        <f>IF(N105="snížená",J105,0)</f>
        <v>0</v>
      </c>
      <c r="BG105" s="141">
        <f>IF(N105="zákl. přenesená",J105,0)</f>
        <v>0</v>
      </c>
      <c r="BH105" s="141">
        <f>IF(N105="sníž. přenesená",J105,0)</f>
        <v>0</v>
      </c>
      <c r="BI105" s="141">
        <f>IF(N105="nulová",J105,0)</f>
        <v>0</v>
      </c>
      <c r="BJ105" s="18" t="s">
        <v>85</v>
      </c>
      <c r="BK105" s="141">
        <f>ROUND(I105*H105,2)</f>
        <v>0</v>
      </c>
      <c r="BL105" s="18" t="s">
        <v>185</v>
      </c>
      <c r="BM105" s="140" t="s">
        <v>2117</v>
      </c>
    </row>
    <row r="106" spans="2:47" s="1" customFormat="1" ht="19.5">
      <c r="B106" s="33"/>
      <c r="D106" s="142" t="s">
        <v>187</v>
      </c>
      <c r="F106" s="143" t="s">
        <v>2118</v>
      </c>
      <c r="I106" s="144"/>
      <c r="L106" s="33"/>
      <c r="M106" s="145"/>
      <c r="T106" s="54"/>
      <c r="AT106" s="18" t="s">
        <v>187</v>
      </c>
      <c r="AU106" s="18" t="s">
        <v>87</v>
      </c>
    </row>
    <row r="107" spans="2:47" s="1" customFormat="1" ht="11.25">
      <c r="B107" s="33"/>
      <c r="D107" s="146" t="s">
        <v>189</v>
      </c>
      <c r="F107" s="147" t="s">
        <v>2119</v>
      </c>
      <c r="I107" s="144"/>
      <c r="L107" s="33"/>
      <c r="M107" s="145"/>
      <c r="T107" s="54"/>
      <c r="AT107" s="18" t="s">
        <v>189</v>
      </c>
      <c r="AU107" s="18" t="s">
        <v>87</v>
      </c>
    </row>
    <row r="108" spans="2:47" s="1" customFormat="1" ht="78">
      <c r="B108" s="33"/>
      <c r="D108" s="142" t="s">
        <v>191</v>
      </c>
      <c r="F108" s="148" t="s">
        <v>2120</v>
      </c>
      <c r="I108" s="144"/>
      <c r="L108" s="33"/>
      <c r="M108" s="145"/>
      <c r="T108" s="54"/>
      <c r="AT108" s="18" t="s">
        <v>191</v>
      </c>
      <c r="AU108" s="18" t="s">
        <v>87</v>
      </c>
    </row>
    <row r="109" spans="2:51" s="13" customFormat="1" ht="11.25">
      <c r="B109" s="156"/>
      <c r="D109" s="142" t="s">
        <v>193</v>
      </c>
      <c r="E109" s="157" t="s">
        <v>3</v>
      </c>
      <c r="F109" s="158" t="s">
        <v>778</v>
      </c>
      <c r="H109" s="157" t="s">
        <v>3</v>
      </c>
      <c r="I109" s="159"/>
      <c r="L109" s="156"/>
      <c r="M109" s="160"/>
      <c r="T109" s="161"/>
      <c r="AT109" s="157" t="s">
        <v>193</v>
      </c>
      <c r="AU109" s="157" t="s">
        <v>87</v>
      </c>
      <c r="AV109" s="13" t="s">
        <v>85</v>
      </c>
      <c r="AW109" s="13" t="s">
        <v>36</v>
      </c>
      <c r="AX109" s="13" t="s">
        <v>77</v>
      </c>
      <c r="AY109" s="157" t="s">
        <v>177</v>
      </c>
    </row>
    <row r="110" spans="2:51" s="12" customFormat="1" ht="11.25">
      <c r="B110" s="149"/>
      <c r="D110" s="142" t="s">
        <v>193</v>
      </c>
      <c r="E110" s="150" t="s">
        <v>3</v>
      </c>
      <c r="F110" s="151" t="s">
        <v>2121</v>
      </c>
      <c r="H110" s="152">
        <v>264.735</v>
      </c>
      <c r="I110" s="153"/>
      <c r="L110" s="149"/>
      <c r="M110" s="154"/>
      <c r="T110" s="155"/>
      <c r="AT110" s="150" t="s">
        <v>193</v>
      </c>
      <c r="AU110" s="150" t="s">
        <v>87</v>
      </c>
      <c r="AV110" s="12" t="s">
        <v>87</v>
      </c>
      <c r="AW110" s="12" t="s">
        <v>36</v>
      </c>
      <c r="AX110" s="12" t="s">
        <v>77</v>
      </c>
      <c r="AY110" s="150" t="s">
        <v>177</v>
      </c>
    </row>
    <row r="111" spans="2:51" s="12" customFormat="1" ht="11.25">
      <c r="B111" s="149"/>
      <c r="D111" s="142" t="s">
        <v>193</v>
      </c>
      <c r="E111" s="150" t="s">
        <v>3</v>
      </c>
      <c r="F111" s="151" t="s">
        <v>2122</v>
      </c>
      <c r="H111" s="152">
        <v>-3.2</v>
      </c>
      <c r="I111" s="153"/>
      <c r="L111" s="149"/>
      <c r="M111" s="154"/>
      <c r="T111" s="155"/>
      <c r="AT111" s="150" t="s">
        <v>193</v>
      </c>
      <c r="AU111" s="150" t="s">
        <v>87</v>
      </c>
      <c r="AV111" s="12" t="s">
        <v>87</v>
      </c>
      <c r="AW111" s="12" t="s">
        <v>36</v>
      </c>
      <c r="AX111" s="12" t="s">
        <v>77</v>
      </c>
      <c r="AY111" s="150" t="s">
        <v>177</v>
      </c>
    </row>
    <row r="112" spans="2:51" s="14" customFormat="1" ht="11.25">
      <c r="B112" s="162"/>
      <c r="D112" s="142" t="s">
        <v>193</v>
      </c>
      <c r="E112" s="163" t="s">
        <v>3</v>
      </c>
      <c r="F112" s="164" t="s">
        <v>197</v>
      </c>
      <c r="H112" s="165">
        <v>261.535</v>
      </c>
      <c r="I112" s="166"/>
      <c r="L112" s="162"/>
      <c r="M112" s="167"/>
      <c r="T112" s="168"/>
      <c r="AT112" s="163" t="s">
        <v>193</v>
      </c>
      <c r="AU112" s="163" t="s">
        <v>87</v>
      </c>
      <c r="AV112" s="14" t="s">
        <v>198</v>
      </c>
      <c r="AW112" s="14" t="s">
        <v>36</v>
      </c>
      <c r="AX112" s="14" t="s">
        <v>77</v>
      </c>
      <c r="AY112" s="163" t="s">
        <v>177</v>
      </c>
    </row>
    <row r="113" spans="2:51" s="13" customFormat="1" ht="11.25">
      <c r="B113" s="156"/>
      <c r="D113" s="142" t="s">
        <v>193</v>
      </c>
      <c r="E113" s="157" t="s">
        <v>3</v>
      </c>
      <c r="F113" s="158" t="s">
        <v>929</v>
      </c>
      <c r="H113" s="157" t="s">
        <v>3</v>
      </c>
      <c r="I113" s="159"/>
      <c r="L113" s="156"/>
      <c r="M113" s="160"/>
      <c r="T113" s="161"/>
      <c r="AT113" s="157" t="s">
        <v>193</v>
      </c>
      <c r="AU113" s="157" t="s">
        <v>87</v>
      </c>
      <c r="AV113" s="13" t="s">
        <v>85</v>
      </c>
      <c r="AW113" s="13" t="s">
        <v>36</v>
      </c>
      <c r="AX113" s="13" t="s">
        <v>77</v>
      </c>
      <c r="AY113" s="157" t="s">
        <v>177</v>
      </c>
    </row>
    <row r="114" spans="2:51" s="12" customFormat="1" ht="11.25">
      <c r="B114" s="149"/>
      <c r="D114" s="142" t="s">
        <v>193</v>
      </c>
      <c r="E114" s="150" t="s">
        <v>3</v>
      </c>
      <c r="F114" s="151" t="s">
        <v>2123</v>
      </c>
      <c r="H114" s="152">
        <v>328.127</v>
      </c>
      <c r="I114" s="153"/>
      <c r="L114" s="149"/>
      <c r="M114" s="154"/>
      <c r="T114" s="155"/>
      <c r="AT114" s="150" t="s">
        <v>193</v>
      </c>
      <c r="AU114" s="150" t="s">
        <v>87</v>
      </c>
      <c r="AV114" s="12" t="s">
        <v>87</v>
      </c>
      <c r="AW114" s="12" t="s">
        <v>36</v>
      </c>
      <c r="AX114" s="12" t="s">
        <v>77</v>
      </c>
      <c r="AY114" s="150" t="s">
        <v>177</v>
      </c>
    </row>
    <row r="115" spans="2:51" s="12" customFormat="1" ht="11.25">
      <c r="B115" s="149"/>
      <c r="D115" s="142" t="s">
        <v>193</v>
      </c>
      <c r="E115" s="150" t="s">
        <v>3</v>
      </c>
      <c r="F115" s="151" t="s">
        <v>2124</v>
      </c>
      <c r="H115" s="152">
        <v>-51.84</v>
      </c>
      <c r="I115" s="153"/>
      <c r="L115" s="149"/>
      <c r="M115" s="154"/>
      <c r="T115" s="155"/>
      <c r="AT115" s="150" t="s">
        <v>193</v>
      </c>
      <c r="AU115" s="150" t="s">
        <v>87</v>
      </c>
      <c r="AV115" s="12" t="s">
        <v>87</v>
      </c>
      <c r="AW115" s="12" t="s">
        <v>36</v>
      </c>
      <c r="AX115" s="12" t="s">
        <v>77</v>
      </c>
      <c r="AY115" s="150" t="s">
        <v>177</v>
      </c>
    </row>
    <row r="116" spans="2:51" s="12" customFormat="1" ht="11.25">
      <c r="B116" s="149"/>
      <c r="D116" s="142" t="s">
        <v>193</v>
      </c>
      <c r="E116" s="150" t="s">
        <v>3</v>
      </c>
      <c r="F116" s="151" t="s">
        <v>2125</v>
      </c>
      <c r="H116" s="152">
        <v>-8.52</v>
      </c>
      <c r="I116" s="153"/>
      <c r="L116" s="149"/>
      <c r="M116" s="154"/>
      <c r="T116" s="155"/>
      <c r="AT116" s="150" t="s">
        <v>193</v>
      </c>
      <c r="AU116" s="150" t="s">
        <v>87</v>
      </c>
      <c r="AV116" s="12" t="s">
        <v>87</v>
      </c>
      <c r="AW116" s="12" t="s">
        <v>36</v>
      </c>
      <c r="AX116" s="12" t="s">
        <v>77</v>
      </c>
      <c r="AY116" s="150" t="s">
        <v>177</v>
      </c>
    </row>
    <row r="117" spans="2:51" s="12" customFormat="1" ht="11.25">
      <c r="B117" s="149"/>
      <c r="D117" s="142" t="s">
        <v>193</v>
      </c>
      <c r="E117" s="150" t="s">
        <v>3</v>
      </c>
      <c r="F117" s="151" t="s">
        <v>1848</v>
      </c>
      <c r="H117" s="152">
        <v>-9.03</v>
      </c>
      <c r="I117" s="153"/>
      <c r="L117" s="149"/>
      <c r="M117" s="154"/>
      <c r="T117" s="155"/>
      <c r="AT117" s="150" t="s">
        <v>193</v>
      </c>
      <c r="AU117" s="150" t="s">
        <v>87</v>
      </c>
      <c r="AV117" s="12" t="s">
        <v>87</v>
      </c>
      <c r="AW117" s="12" t="s">
        <v>36</v>
      </c>
      <c r="AX117" s="12" t="s">
        <v>77</v>
      </c>
      <c r="AY117" s="150" t="s">
        <v>177</v>
      </c>
    </row>
    <row r="118" spans="2:51" s="12" customFormat="1" ht="11.25">
      <c r="B118" s="149"/>
      <c r="D118" s="142" t="s">
        <v>193</v>
      </c>
      <c r="E118" s="150" t="s">
        <v>3</v>
      </c>
      <c r="F118" s="151" t="s">
        <v>2126</v>
      </c>
      <c r="H118" s="152">
        <v>467.6</v>
      </c>
      <c r="I118" s="153"/>
      <c r="L118" s="149"/>
      <c r="M118" s="154"/>
      <c r="T118" s="155"/>
      <c r="AT118" s="150" t="s">
        <v>193</v>
      </c>
      <c r="AU118" s="150" t="s">
        <v>87</v>
      </c>
      <c r="AV118" s="12" t="s">
        <v>87</v>
      </c>
      <c r="AW118" s="12" t="s">
        <v>36</v>
      </c>
      <c r="AX118" s="12" t="s">
        <v>77</v>
      </c>
      <c r="AY118" s="150" t="s">
        <v>177</v>
      </c>
    </row>
    <row r="119" spans="2:51" s="14" customFormat="1" ht="11.25">
      <c r="B119" s="162"/>
      <c r="D119" s="142" t="s">
        <v>193</v>
      </c>
      <c r="E119" s="163" t="s">
        <v>3</v>
      </c>
      <c r="F119" s="164" t="s">
        <v>197</v>
      </c>
      <c r="H119" s="165">
        <v>726.337</v>
      </c>
      <c r="I119" s="166"/>
      <c r="L119" s="162"/>
      <c r="M119" s="167"/>
      <c r="T119" s="168"/>
      <c r="AT119" s="163" t="s">
        <v>193</v>
      </c>
      <c r="AU119" s="163" t="s">
        <v>87</v>
      </c>
      <c r="AV119" s="14" t="s">
        <v>198</v>
      </c>
      <c r="AW119" s="14" t="s">
        <v>36</v>
      </c>
      <c r="AX119" s="14" t="s">
        <v>77</v>
      </c>
      <c r="AY119" s="163" t="s">
        <v>177</v>
      </c>
    </row>
    <row r="120" spans="2:51" s="13" customFormat="1" ht="11.25">
      <c r="B120" s="156"/>
      <c r="D120" s="142" t="s">
        <v>193</v>
      </c>
      <c r="E120" s="157" t="s">
        <v>3</v>
      </c>
      <c r="F120" s="158" t="s">
        <v>937</v>
      </c>
      <c r="H120" s="157" t="s">
        <v>3</v>
      </c>
      <c r="I120" s="159"/>
      <c r="L120" s="156"/>
      <c r="M120" s="160"/>
      <c r="T120" s="161"/>
      <c r="AT120" s="157" t="s">
        <v>193</v>
      </c>
      <c r="AU120" s="157" t="s">
        <v>87</v>
      </c>
      <c r="AV120" s="13" t="s">
        <v>85</v>
      </c>
      <c r="AW120" s="13" t="s">
        <v>36</v>
      </c>
      <c r="AX120" s="13" t="s">
        <v>77</v>
      </c>
      <c r="AY120" s="157" t="s">
        <v>177</v>
      </c>
    </row>
    <row r="121" spans="2:51" s="12" customFormat="1" ht="11.25">
      <c r="B121" s="149"/>
      <c r="D121" s="142" t="s">
        <v>193</v>
      </c>
      <c r="E121" s="150" t="s">
        <v>3</v>
      </c>
      <c r="F121" s="151" t="s">
        <v>2127</v>
      </c>
      <c r="H121" s="152">
        <v>297.83</v>
      </c>
      <c r="I121" s="153"/>
      <c r="L121" s="149"/>
      <c r="M121" s="154"/>
      <c r="T121" s="155"/>
      <c r="AT121" s="150" t="s">
        <v>193</v>
      </c>
      <c r="AU121" s="150" t="s">
        <v>87</v>
      </c>
      <c r="AV121" s="12" t="s">
        <v>87</v>
      </c>
      <c r="AW121" s="12" t="s">
        <v>36</v>
      </c>
      <c r="AX121" s="12" t="s">
        <v>77</v>
      </c>
      <c r="AY121" s="150" t="s">
        <v>177</v>
      </c>
    </row>
    <row r="122" spans="2:51" s="12" customFormat="1" ht="11.25">
      <c r="B122" s="149"/>
      <c r="D122" s="142" t="s">
        <v>193</v>
      </c>
      <c r="E122" s="150" t="s">
        <v>3</v>
      </c>
      <c r="F122" s="151" t="s">
        <v>584</v>
      </c>
      <c r="H122" s="152">
        <v>-34.56</v>
      </c>
      <c r="I122" s="153"/>
      <c r="L122" s="149"/>
      <c r="M122" s="154"/>
      <c r="T122" s="155"/>
      <c r="AT122" s="150" t="s">
        <v>193</v>
      </c>
      <c r="AU122" s="150" t="s">
        <v>87</v>
      </c>
      <c r="AV122" s="12" t="s">
        <v>87</v>
      </c>
      <c r="AW122" s="12" t="s">
        <v>36</v>
      </c>
      <c r="AX122" s="12" t="s">
        <v>77</v>
      </c>
      <c r="AY122" s="150" t="s">
        <v>177</v>
      </c>
    </row>
    <row r="123" spans="2:51" s="12" customFormat="1" ht="11.25">
      <c r="B123" s="149"/>
      <c r="D123" s="142" t="s">
        <v>193</v>
      </c>
      <c r="E123" s="150" t="s">
        <v>3</v>
      </c>
      <c r="F123" s="151" t="s">
        <v>2128</v>
      </c>
      <c r="H123" s="152">
        <v>-38.88</v>
      </c>
      <c r="I123" s="153"/>
      <c r="L123" s="149"/>
      <c r="M123" s="154"/>
      <c r="T123" s="155"/>
      <c r="AT123" s="150" t="s">
        <v>193</v>
      </c>
      <c r="AU123" s="150" t="s">
        <v>87</v>
      </c>
      <c r="AV123" s="12" t="s">
        <v>87</v>
      </c>
      <c r="AW123" s="12" t="s">
        <v>36</v>
      </c>
      <c r="AX123" s="12" t="s">
        <v>77</v>
      </c>
      <c r="AY123" s="150" t="s">
        <v>177</v>
      </c>
    </row>
    <row r="124" spans="2:51" s="12" customFormat="1" ht="11.25">
      <c r="B124" s="149"/>
      <c r="D124" s="142" t="s">
        <v>193</v>
      </c>
      <c r="E124" s="150" t="s">
        <v>3</v>
      </c>
      <c r="F124" s="151" t="s">
        <v>2129</v>
      </c>
      <c r="H124" s="152">
        <v>-3</v>
      </c>
      <c r="I124" s="153"/>
      <c r="L124" s="149"/>
      <c r="M124" s="154"/>
      <c r="T124" s="155"/>
      <c r="AT124" s="150" t="s">
        <v>193</v>
      </c>
      <c r="AU124" s="150" t="s">
        <v>87</v>
      </c>
      <c r="AV124" s="12" t="s">
        <v>87</v>
      </c>
      <c r="AW124" s="12" t="s">
        <v>36</v>
      </c>
      <c r="AX124" s="12" t="s">
        <v>77</v>
      </c>
      <c r="AY124" s="150" t="s">
        <v>177</v>
      </c>
    </row>
    <row r="125" spans="2:51" s="12" customFormat="1" ht="11.25">
      <c r="B125" s="149"/>
      <c r="D125" s="142" t="s">
        <v>193</v>
      </c>
      <c r="E125" s="150" t="s">
        <v>3</v>
      </c>
      <c r="F125" s="151" t="s">
        <v>2130</v>
      </c>
      <c r="H125" s="152">
        <v>484.678</v>
      </c>
      <c r="I125" s="153"/>
      <c r="L125" s="149"/>
      <c r="M125" s="154"/>
      <c r="T125" s="155"/>
      <c r="AT125" s="150" t="s">
        <v>193</v>
      </c>
      <c r="AU125" s="150" t="s">
        <v>87</v>
      </c>
      <c r="AV125" s="12" t="s">
        <v>87</v>
      </c>
      <c r="AW125" s="12" t="s">
        <v>36</v>
      </c>
      <c r="AX125" s="12" t="s">
        <v>77</v>
      </c>
      <c r="AY125" s="150" t="s">
        <v>177</v>
      </c>
    </row>
    <row r="126" spans="2:51" s="14" customFormat="1" ht="11.25">
      <c r="B126" s="162"/>
      <c r="D126" s="142" t="s">
        <v>193</v>
      </c>
      <c r="E126" s="163" t="s">
        <v>3</v>
      </c>
      <c r="F126" s="164" t="s">
        <v>197</v>
      </c>
      <c r="H126" s="165">
        <v>706.068</v>
      </c>
      <c r="I126" s="166"/>
      <c r="L126" s="162"/>
      <c r="M126" s="167"/>
      <c r="T126" s="168"/>
      <c r="AT126" s="163" t="s">
        <v>193</v>
      </c>
      <c r="AU126" s="163" t="s">
        <v>87</v>
      </c>
      <c r="AV126" s="14" t="s">
        <v>198</v>
      </c>
      <c r="AW126" s="14" t="s">
        <v>36</v>
      </c>
      <c r="AX126" s="14" t="s">
        <v>77</v>
      </c>
      <c r="AY126" s="163" t="s">
        <v>177</v>
      </c>
    </row>
    <row r="127" spans="2:51" s="15" customFormat="1" ht="11.25">
      <c r="B127" s="169"/>
      <c r="D127" s="142" t="s">
        <v>193</v>
      </c>
      <c r="E127" s="170" t="s">
        <v>3</v>
      </c>
      <c r="F127" s="171" t="s">
        <v>201</v>
      </c>
      <c r="H127" s="172">
        <v>1693.94</v>
      </c>
      <c r="I127" s="173"/>
      <c r="L127" s="169"/>
      <c r="M127" s="174"/>
      <c r="T127" s="175"/>
      <c r="AT127" s="170" t="s">
        <v>193</v>
      </c>
      <c r="AU127" s="170" t="s">
        <v>87</v>
      </c>
      <c r="AV127" s="15" t="s">
        <v>185</v>
      </c>
      <c r="AW127" s="15" t="s">
        <v>36</v>
      </c>
      <c r="AX127" s="15" t="s">
        <v>85</v>
      </c>
      <c r="AY127" s="170" t="s">
        <v>177</v>
      </c>
    </row>
    <row r="128" spans="2:65" s="1" customFormat="1" ht="24.2" customHeight="1">
      <c r="B128" s="128"/>
      <c r="C128" s="129" t="s">
        <v>233</v>
      </c>
      <c r="D128" s="129" t="s">
        <v>180</v>
      </c>
      <c r="E128" s="130" t="s">
        <v>2131</v>
      </c>
      <c r="F128" s="131" t="s">
        <v>2132</v>
      </c>
      <c r="G128" s="132" t="s">
        <v>332</v>
      </c>
      <c r="H128" s="133">
        <v>5081.82</v>
      </c>
      <c r="I128" s="134"/>
      <c r="J128" s="135">
        <f>ROUND(I128*H128,2)</f>
        <v>0</v>
      </c>
      <c r="K128" s="131" t="s">
        <v>184</v>
      </c>
      <c r="L128" s="33"/>
      <c r="M128" s="136" t="s">
        <v>3</v>
      </c>
      <c r="N128" s="137" t="s">
        <v>48</v>
      </c>
      <c r="P128" s="138">
        <f>O128*H128</f>
        <v>0</v>
      </c>
      <c r="Q128" s="138">
        <v>0.0079</v>
      </c>
      <c r="R128" s="138">
        <f>Q128*H128</f>
        <v>40.146378</v>
      </c>
      <c r="S128" s="138">
        <v>0</v>
      </c>
      <c r="T128" s="139">
        <f>S128*H128</f>
        <v>0</v>
      </c>
      <c r="AR128" s="140" t="s">
        <v>185</v>
      </c>
      <c r="AT128" s="140" t="s">
        <v>180</v>
      </c>
      <c r="AU128" s="140" t="s">
        <v>87</v>
      </c>
      <c r="AY128" s="18" t="s">
        <v>177</v>
      </c>
      <c r="BE128" s="141">
        <f>IF(N128="základní",J128,0)</f>
        <v>0</v>
      </c>
      <c r="BF128" s="141">
        <f>IF(N128="snížená",J128,0)</f>
        <v>0</v>
      </c>
      <c r="BG128" s="141">
        <f>IF(N128="zákl. přenesená",J128,0)</f>
        <v>0</v>
      </c>
      <c r="BH128" s="141">
        <f>IF(N128="sníž. přenesená",J128,0)</f>
        <v>0</v>
      </c>
      <c r="BI128" s="141">
        <f>IF(N128="nulová",J128,0)</f>
        <v>0</v>
      </c>
      <c r="BJ128" s="18" t="s">
        <v>85</v>
      </c>
      <c r="BK128" s="141">
        <f>ROUND(I128*H128,2)</f>
        <v>0</v>
      </c>
      <c r="BL128" s="18" t="s">
        <v>185</v>
      </c>
      <c r="BM128" s="140" t="s">
        <v>2133</v>
      </c>
    </row>
    <row r="129" spans="2:47" s="1" customFormat="1" ht="29.25">
      <c r="B129" s="33"/>
      <c r="D129" s="142" t="s">
        <v>187</v>
      </c>
      <c r="F129" s="143" t="s">
        <v>2134</v>
      </c>
      <c r="I129" s="144"/>
      <c r="L129" s="33"/>
      <c r="M129" s="145"/>
      <c r="T129" s="54"/>
      <c r="AT129" s="18" t="s">
        <v>187</v>
      </c>
      <c r="AU129" s="18" t="s">
        <v>87</v>
      </c>
    </row>
    <row r="130" spans="2:47" s="1" customFormat="1" ht="11.25">
      <c r="B130" s="33"/>
      <c r="D130" s="146" t="s">
        <v>189</v>
      </c>
      <c r="F130" s="147" t="s">
        <v>2135</v>
      </c>
      <c r="I130" s="144"/>
      <c r="L130" s="33"/>
      <c r="M130" s="145"/>
      <c r="T130" s="54"/>
      <c r="AT130" s="18" t="s">
        <v>189</v>
      </c>
      <c r="AU130" s="18" t="s">
        <v>87</v>
      </c>
    </row>
    <row r="131" spans="2:47" s="1" customFormat="1" ht="78">
      <c r="B131" s="33"/>
      <c r="D131" s="142" t="s">
        <v>191</v>
      </c>
      <c r="F131" s="148" t="s">
        <v>2120</v>
      </c>
      <c r="I131" s="144"/>
      <c r="L131" s="33"/>
      <c r="M131" s="145"/>
      <c r="T131" s="54"/>
      <c r="AT131" s="18" t="s">
        <v>191</v>
      </c>
      <c r="AU131" s="18" t="s">
        <v>87</v>
      </c>
    </row>
    <row r="132" spans="2:51" s="12" customFormat="1" ht="11.25">
      <c r="B132" s="149"/>
      <c r="D132" s="142" t="s">
        <v>193</v>
      </c>
      <c r="E132" s="150" t="s">
        <v>3</v>
      </c>
      <c r="F132" s="151" t="s">
        <v>2136</v>
      </c>
      <c r="H132" s="152">
        <v>5081.82</v>
      </c>
      <c r="I132" s="153"/>
      <c r="L132" s="149"/>
      <c r="M132" s="154"/>
      <c r="T132" s="155"/>
      <c r="AT132" s="150" t="s">
        <v>193</v>
      </c>
      <c r="AU132" s="150" t="s">
        <v>87</v>
      </c>
      <c r="AV132" s="12" t="s">
        <v>87</v>
      </c>
      <c r="AW132" s="12" t="s">
        <v>36</v>
      </c>
      <c r="AX132" s="12" t="s">
        <v>85</v>
      </c>
      <c r="AY132" s="150" t="s">
        <v>177</v>
      </c>
    </row>
    <row r="133" spans="2:65" s="1" customFormat="1" ht="24.2" customHeight="1">
      <c r="B133" s="128"/>
      <c r="C133" s="129" t="s">
        <v>241</v>
      </c>
      <c r="D133" s="129" t="s">
        <v>180</v>
      </c>
      <c r="E133" s="130" t="s">
        <v>2137</v>
      </c>
      <c r="F133" s="131" t="s">
        <v>2138</v>
      </c>
      <c r="G133" s="132" t="s">
        <v>332</v>
      </c>
      <c r="H133" s="133">
        <v>31</v>
      </c>
      <c r="I133" s="134"/>
      <c r="J133" s="135">
        <f>ROUND(I133*H133,2)</f>
        <v>0</v>
      </c>
      <c r="K133" s="131" t="s">
        <v>184</v>
      </c>
      <c r="L133" s="33"/>
      <c r="M133" s="136" t="s">
        <v>3</v>
      </c>
      <c r="N133" s="137" t="s">
        <v>48</v>
      </c>
      <c r="P133" s="138">
        <f>O133*H133</f>
        <v>0</v>
      </c>
      <c r="Q133" s="138">
        <v>0.0382</v>
      </c>
      <c r="R133" s="138">
        <f>Q133*H133</f>
        <v>1.1842</v>
      </c>
      <c r="S133" s="138">
        <v>0</v>
      </c>
      <c r="T133" s="139">
        <f>S133*H133</f>
        <v>0</v>
      </c>
      <c r="AR133" s="140" t="s">
        <v>185</v>
      </c>
      <c r="AT133" s="140" t="s">
        <v>180</v>
      </c>
      <c r="AU133" s="140" t="s">
        <v>87</v>
      </c>
      <c r="AY133" s="18" t="s">
        <v>177</v>
      </c>
      <c r="BE133" s="141">
        <f>IF(N133="základní",J133,0)</f>
        <v>0</v>
      </c>
      <c r="BF133" s="141">
        <f>IF(N133="snížená",J133,0)</f>
        <v>0</v>
      </c>
      <c r="BG133" s="141">
        <f>IF(N133="zákl. přenesená",J133,0)</f>
        <v>0</v>
      </c>
      <c r="BH133" s="141">
        <f>IF(N133="sníž. přenesená",J133,0)</f>
        <v>0</v>
      </c>
      <c r="BI133" s="141">
        <f>IF(N133="nulová",J133,0)</f>
        <v>0</v>
      </c>
      <c r="BJ133" s="18" t="s">
        <v>85</v>
      </c>
      <c r="BK133" s="141">
        <f>ROUND(I133*H133,2)</f>
        <v>0</v>
      </c>
      <c r="BL133" s="18" t="s">
        <v>185</v>
      </c>
      <c r="BM133" s="140" t="s">
        <v>2139</v>
      </c>
    </row>
    <row r="134" spans="2:47" s="1" customFormat="1" ht="19.5">
      <c r="B134" s="33"/>
      <c r="D134" s="142" t="s">
        <v>187</v>
      </c>
      <c r="F134" s="143" t="s">
        <v>2140</v>
      </c>
      <c r="I134" s="144"/>
      <c r="L134" s="33"/>
      <c r="M134" s="145"/>
      <c r="T134" s="54"/>
      <c r="AT134" s="18" t="s">
        <v>187</v>
      </c>
      <c r="AU134" s="18" t="s">
        <v>87</v>
      </c>
    </row>
    <row r="135" spans="2:47" s="1" customFormat="1" ht="11.25">
      <c r="B135" s="33"/>
      <c r="D135" s="146" t="s">
        <v>189</v>
      </c>
      <c r="F135" s="147" t="s">
        <v>2141</v>
      </c>
      <c r="I135" s="144"/>
      <c r="L135" s="33"/>
      <c r="M135" s="145"/>
      <c r="T135" s="54"/>
      <c r="AT135" s="18" t="s">
        <v>189</v>
      </c>
      <c r="AU135" s="18" t="s">
        <v>87</v>
      </c>
    </row>
    <row r="136" spans="2:51" s="12" customFormat="1" ht="11.25">
      <c r="B136" s="149"/>
      <c r="D136" s="142" t="s">
        <v>193</v>
      </c>
      <c r="E136" s="150" t="s">
        <v>3</v>
      </c>
      <c r="F136" s="151" t="s">
        <v>2142</v>
      </c>
      <c r="H136" s="152">
        <v>11</v>
      </c>
      <c r="I136" s="153"/>
      <c r="L136" s="149"/>
      <c r="M136" s="154"/>
      <c r="T136" s="155"/>
      <c r="AT136" s="150" t="s">
        <v>193</v>
      </c>
      <c r="AU136" s="150" t="s">
        <v>87</v>
      </c>
      <c r="AV136" s="12" t="s">
        <v>87</v>
      </c>
      <c r="AW136" s="12" t="s">
        <v>36</v>
      </c>
      <c r="AX136" s="12" t="s">
        <v>77</v>
      </c>
      <c r="AY136" s="150" t="s">
        <v>177</v>
      </c>
    </row>
    <row r="137" spans="2:51" s="12" customFormat="1" ht="11.25">
      <c r="B137" s="149"/>
      <c r="D137" s="142" t="s">
        <v>193</v>
      </c>
      <c r="E137" s="150" t="s">
        <v>3</v>
      </c>
      <c r="F137" s="151" t="s">
        <v>2143</v>
      </c>
      <c r="H137" s="152">
        <v>5</v>
      </c>
      <c r="I137" s="153"/>
      <c r="L137" s="149"/>
      <c r="M137" s="154"/>
      <c r="T137" s="155"/>
      <c r="AT137" s="150" t="s">
        <v>193</v>
      </c>
      <c r="AU137" s="150" t="s">
        <v>87</v>
      </c>
      <c r="AV137" s="12" t="s">
        <v>87</v>
      </c>
      <c r="AW137" s="12" t="s">
        <v>36</v>
      </c>
      <c r="AX137" s="12" t="s">
        <v>77</v>
      </c>
      <c r="AY137" s="150" t="s">
        <v>177</v>
      </c>
    </row>
    <row r="138" spans="2:51" s="12" customFormat="1" ht="11.25">
      <c r="B138" s="149"/>
      <c r="D138" s="142" t="s">
        <v>193</v>
      </c>
      <c r="E138" s="150" t="s">
        <v>3</v>
      </c>
      <c r="F138" s="151" t="s">
        <v>2144</v>
      </c>
      <c r="H138" s="152">
        <v>15</v>
      </c>
      <c r="I138" s="153"/>
      <c r="L138" s="149"/>
      <c r="M138" s="154"/>
      <c r="T138" s="155"/>
      <c r="AT138" s="150" t="s">
        <v>193</v>
      </c>
      <c r="AU138" s="150" t="s">
        <v>87</v>
      </c>
      <c r="AV138" s="12" t="s">
        <v>87</v>
      </c>
      <c r="AW138" s="12" t="s">
        <v>36</v>
      </c>
      <c r="AX138" s="12" t="s">
        <v>77</v>
      </c>
      <c r="AY138" s="150" t="s">
        <v>177</v>
      </c>
    </row>
    <row r="139" spans="2:51" s="15" customFormat="1" ht="11.25">
      <c r="B139" s="169"/>
      <c r="D139" s="142" t="s">
        <v>193</v>
      </c>
      <c r="E139" s="170" t="s">
        <v>3</v>
      </c>
      <c r="F139" s="171" t="s">
        <v>201</v>
      </c>
      <c r="H139" s="172">
        <v>31</v>
      </c>
      <c r="I139" s="173"/>
      <c r="L139" s="169"/>
      <c r="M139" s="174"/>
      <c r="T139" s="175"/>
      <c r="AT139" s="170" t="s">
        <v>193</v>
      </c>
      <c r="AU139" s="170" t="s">
        <v>87</v>
      </c>
      <c r="AV139" s="15" t="s">
        <v>185</v>
      </c>
      <c r="AW139" s="15" t="s">
        <v>36</v>
      </c>
      <c r="AX139" s="15" t="s">
        <v>85</v>
      </c>
      <c r="AY139" s="170" t="s">
        <v>177</v>
      </c>
    </row>
    <row r="140" spans="2:65" s="1" customFormat="1" ht="24.2" customHeight="1">
      <c r="B140" s="128"/>
      <c r="C140" s="129" t="s">
        <v>248</v>
      </c>
      <c r="D140" s="129" t="s">
        <v>180</v>
      </c>
      <c r="E140" s="130" t="s">
        <v>2145</v>
      </c>
      <c r="F140" s="131" t="s">
        <v>2146</v>
      </c>
      <c r="G140" s="132" t="s">
        <v>332</v>
      </c>
      <c r="H140" s="133">
        <v>1621.044</v>
      </c>
      <c r="I140" s="134"/>
      <c r="J140" s="135">
        <f>ROUND(I140*H140,2)</f>
        <v>0</v>
      </c>
      <c r="K140" s="131" t="s">
        <v>184</v>
      </c>
      <c r="L140" s="33"/>
      <c r="M140" s="136" t="s">
        <v>3</v>
      </c>
      <c r="N140" s="137" t="s">
        <v>48</v>
      </c>
      <c r="P140" s="138">
        <f>O140*H140</f>
        <v>0</v>
      </c>
      <c r="Q140" s="138">
        <v>0.00189</v>
      </c>
      <c r="R140" s="138">
        <f>Q140*H140</f>
        <v>3.06377316</v>
      </c>
      <c r="S140" s="138">
        <v>0</v>
      </c>
      <c r="T140" s="139">
        <f>S140*H140</f>
        <v>0</v>
      </c>
      <c r="AR140" s="140" t="s">
        <v>185</v>
      </c>
      <c r="AT140" s="140" t="s">
        <v>180</v>
      </c>
      <c r="AU140" s="140" t="s">
        <v>87</v>
      </c>
      <c r="AY140" s="18" t="s">
        <v>177</v>
      </c>
      <c r="BE140" s="141">
        <f>IF(N140="základní",J140,0)</f>
        <v>0</v>
      </c>
      <c r="BF140" s="141">
        <f>IF(N140="snížená",J140,0)</f>
        <v>0</v>
      </c>
      <c r="BG140" s="141">
        <f>IF(N140="zákl. přenesená",J140,0)</f>
        <v>0</v>
      </c>
      <c r="BH140" s="141">
        <f>IF(N140="sníž. přenesená",J140,0)</f>
        <v>0</v>
      </c>
      <c r="BI140" s="141">
        <f>IF(N140="nulová",J140,0)</f>
        <v>0</v>
      </c>
      <c r="BJ140" s="18" t="s">
        <v>85</v>
      </c>
      <c r="BK140" s="141">
        <f>ROUND(I140*H140,2)</f>
        <v>0</v>
      </c>
      <c r="BL140" s="18" t="s">
        <v>185</v>
      </c>
      <c r="BM140" s="140" t="s">
        <v>2147</v>
      </c>
    </row>
    <row r="141" spans="2:47" s="1" customFormat="1" ht="29.25">
      <c r="B141" s="33"/>
      <c r="D141" s="142" t="s">
        <v>187</v>
      </c>
      <c r="F141" s="143" t="s">
        <v>2148</v>
      </c>
      <c r="I141" s="144"/>
      <c r="L141" s="33"/>
      <c r="M141" s="145"/>
      <c r="T141" s="54"/>
      <c r="AT141" s="18" t="s">
        <v>187</v>
      </c>
      <c r="AU141" s="18" t="s">
        <v>87</v>
      </c>
    </row>
    <row r="142" spans="2:47" s="1" customFormat="1" ht="11.25">
      <c r="B142" s="33"/>
      <c r="D142" s="146" t="s">
        <v>189</v>
      </c>
      <c r="F142" s="147" t="s">
        <v>2149</v>
      </c>
      <c r="I142" s="144"/>
      <c r="L142" s="33"/>
      <c r="M142" s="145"/>
      <c r="T142" s="54"/>
      <c r="AT142" s="18" t="s">
        <v>189</v>
      </c>
      <c r="AU142" s="18" t="s">
        <v>87</v>
      </c>
    </row>
    <row r="143" spans="2:51" s="13" customFormat="1" ht="11.25">
      <c r="B143" s="156"/>
      <c r="D143" s="142" t="s">
        <v>193</v>
      </c>
      <c r="E143" s="157" t="s">
        <v>3</v>
      </c>
      <c r="F143" s="158" t="s">
        <v>2150</v>
      </c>
      <c r="H143" s="157" t="s">
        <v>3</v>
      </c>
      <c r="I143" s="159"/>
      <c r="L143" s="156"/>
      <c r="M143" s="160"/>
      <c r="T143" s="161"/>
      <c r="AT143" s="157" t="s">
        <v>193</v>
      </c>
      <c r="AU143" s="157" t="s">
        <v>87</v>
      </c>
      <c r="AV143" s="13" t="s">
        <v>85</v>
      </c>
      <c r="AW143" s="13" t="s">
        <v>36</v>
      </c>
      <c r="AX143" s="13" t="s">
        <v>77</v>
      </c>
      <c r="AY143" s="157" t="s">
        <v>177</v>
      </c>
    </row>
    <row r="144" spans="2:51" s="12" customFormat="1" ht="11.25">
      <c r="B144" s="149"/>
      <c r="D144" s="142" t="s">
        <v>193</v>
      </c>
      <c r="E144" s="150" t="s">
        <v>3</v>
      </c>
      <c r="F144" s="151" t="s">
        <v>2151</v>
      </c>
      <c r="H144" s="152">
        <v>-72.896</v>
      </c>
      <c r="I144" s="153"/>
      <c r="L144" s="149"/>
      <c r="M144" s="154"/>
      <c r="T144" s="155"/>
      <c r="AT144" s="150" t="s">
        <v>193</v>
      </c>
      <c r="AU144" s="150" t="s">
        <v>87</v>
      </c>
      <c r="AV144" s="12" t="s">
        <v>87</v>
      </c>
      <c r="AW144" s="12" t="s">
        <v>36</v>
      </c>
      <c r="AX144" s="12" t="s">
        <v>77</v>
      </c>
      <c r="AY144" s="150" t="s">
        <v>177</v>
      </c>
    </row>
    <row r="145" spans="2:51" s="13" customFormat="1" ht="11.25">
      <c r="B145" s="156"/>
      <c r="D145" s="142" t="s">
        <v>193</v>
      </c>
      <c r="E145" s="157" t="s">
        <v>3</v>
      </c>
      <c r="F145" s="158" t="s">
        <v>2152</v>
      </c>
      <c r="H145" s="157" t="s">
        <v>3</v>
      </c>
      <c r="I145" s="159"/>
      <c r="L145" s="156"/>
      <c r="M145" s="160"/>
      <c r="T145" s="161"/>
      <c r="AT145" s="157" t="s">
        <v>193</v>
      </c>
      <c r="AU145" s="157" t="s">
        <v>87</v>
      </c>
      <c r="AV145" s="13" t="s">
        <v>85</v>
      </c>
      <c r="AW145" s="13" t="s">
        <v>36</v>
      </c>
      <c r="AX145" s="13" t="s">
        <v>77</v>
      </c>
      <c r="AY145" s="157" t="s">
        <v>177</v>
      </c>
    </row>
    <row r="146" spans="2:51" s="12" customFormat="1" ht="11.25">
      <c r="B146" s="149"/>
      <c r="D146" s="142" t="s">
        <v>193</v>
      </c>
      <c r="E146" s="150" t="s">
        <v>3</v>
      </c>
      <c r="F146" s="151" t="s">
        <v>2153</v>
      </c>
      <c r="H146" s="152">
        <v>1693.94</v>
      </c>
      <c r="I146" s="153"/>
      <c r="L146" s="149"/>
      <c r="M146" s="154"/>
      <c r="T146" s="155"/>
      <c r="AT146" s="150" t="s">
        <v>193</v>
      </c>
      <c r="AU146" s="150" t="s">
        <v>87</v>
      </c>
      <c r="AV146" s="12" t="s">
        <v>87</v>
      </c>
      <c r="AW146" s="12" t="s">
        <v>36</v>
      </c>
      <c r="AX146" s="12" t="s">
        <v>77</v>
      </c>
      <c r="AY146" s="150" t="s">
        <v>177</v>
      </c>
    </row>
    <row r="147" spans="2:51" s="15" customFormat="1" ht="11.25">
      <c r="B147" s="169"/>
      <c r="D147" s="142" t="s">
        <v>193</v>
      </c>
      <c r="E147" s="170" t="s">
        <v>3</v>
      </c>
      <c r="F147" s="171" t="s">
        <v>201</v>
      </c>
      <c r="H147" s="172">
        <v>1621.044</v>
      </c>
      <c r="I147" s="173"/>
      <c r="L147" s="169"/>
      <c r="M147" s="174"/>
      <c r="T147" s="175"/>
      <c r="AT147" s="170" t="s">
        <v>193</v>
      </c>
      <c r="AU147" s="170" t="s">
        <v>87</v>
      </c>
      <c r="AV147" s="15" t="s">
        <v>185</v>
      </c>
      <c r="AW147" s="15" t="s">
        <v>36</v>
      </c>
      <c r="AX147" s="15" t="s">
        <v>85</v>
      </c>
      <c r="AY147" s="170" t="s">
        <v>177</v>
      </c>
    </row>
    <row r="148" spans="2:65" s="1" customFormat="1" ht="24.2" customHeight="1">
      <c r="B148" s="128"/>
      <c r="C148" s="129" t="s">
        <v>252</v>
      </c>
      <c r="D148" s="129" t="s">
        <v>180</v>
      </c>
      <c r="E148" s="130" t="s">
        <v>2154</v>
      </c>
      <c r="F148" s="131" t="s">
        <v>2155</v>
      </c>
      <c r="G148" s="132" t="s">
        <v>332</v>
      </c>
      <c r="H148" s="133">
        <v>337.6</v>
      </c>
      <c r="I148" s="134"/>
      <c r="J148" s="135">
        <f>ROUND(I148*H148,2)</f>
        <v>0</v>
      </c>
      <c r="K148" s="131" t="s">
        <v>184</v>
      </c>
      <c r="L148" s="33"/>
      <c r="M148" s="136" t="s">
        <v>3</v>
      </c>
      <c r="N148" s="137" t="s">
        <v>48</v>
      </c>
      <c r="P148" s="138">
        <f>O148*H148</f>
        <v>0</v>
      </c>
      <c r="Q148" s="138">
        <v>0.000263</v>
      </c>
      <c r="R148" s="138">
        <f>Q148*H148</f>
        <v>0.0887888</v>
      </c>
      <c r="S148" s="138">
        <v>0</v>
      </c>
      <c r="T148" s="139">
        <f>S148*H148</f>
        <v>0</v>
      </c>
      <c r="AR148" s="140" t="s">
        <v>185</v>
      </c>
      <c r="AT148" s="140" t="s">
        <v>180</v>
      </c>
      <c r="AU148" s="140" t="s">
        <v>87</v>
      </c>
      <c r="AY148" s="18" t="s">
        <v>177</v>
      </c>
      <c r="BE148" s="141">
        <f>IF(N148="základní",J148,0)</f>
        <v>0</v>
      </c>
      <c r="BF148" s="141">
        <f>IF(N148="snížená",J148,0)</f>
        <v>0</v>
      </c>
      <c r="BG148" s="141">
        <f>IF(N148="zákl. přenesená",J148,0)</f>
        <v>0</v>
      </c>
      <c r="BH148" s="141">
        <f>IF(N148="sníž. přenesená",J148,0)</f>
        <v>0</v>
      </c>
      <c r="BI148" s="141">
        <f>IF(N148="nulová",J148,0)</f>
        <v>0</v>
      </c>
      <c r="BJ148" s="18" t="s">
        <v>85</v>
      </c>
      <c r="BK148" s="141">
        <f>ROUND(I148*H148,2)</f>
        <v>0</v>
      </c>
      <c r="BL148" s="18" t="s">
        <v>185</v>
      </c>
      <c r="BM148" s="140" t="s">
        <v>2156</v>
      </c>
    </row>
    <row r="149" spans="2:47" s="1" customFormat="1" ht="19.5">
      <c r="B149" s="33"/>
      <c r="D149" s="142" t="s">
        <v>187</v>
      </c>
      <c r="F149" s="143" t="s">
        <v>2157</v>
      </c>
      <c r="I149" s="144"/>
      <c r="L149" s="33"/>
      <c r="M149" s="145"/>
      <c r="T149" s="54"/>
      <c r="AT149" s="18" t="s">
        <v>187</v>
      </c>
      <c r="AU149" s="18" t="s">
        <v>87</v>
      </c>
    </row>
    <row r="150" spans="2:47" s="1" customFormat="1" ht="11.25">
      <c r="B150" s="33"/>
      <c r="D150" s="146" t="s">
        <v>189</v>
      </c>
      <c r="F150" s="147" t="s">
        <v>2158</v>
      </c>
      <c r="I150" s="144"/>
      <c r="L150" s="33"/>
      <c r="M150" s="145"/>
      <c r="T150" s="54"/>
      <c r="AT150" s="18" t="s">
        <v>189</v>
      </c>
      <c r="AU150" s="18" t="s">
        <v>87</v>
      </c>
    </row>
    <row r="151" spans="2:51" s="12" customFormat="1" ht="11.25">
      <c r="B151" s="149"/>
      <c r="D151" s="142" t="s">
        <v>193</v>
      </c>
      <c r="E151" s="150" t="s">
        <v>3</v>
      </c>
      <c r="F151" s="151" t="s">
        <v>2159</v>
      </c>
      <c r="H151" s="152">
        <v>84.8</v>
      </c>
      <c r="I151" s="153"/>
      <c r="L151" s="149"/>
      <c r="M151" s="154"/>
      <c r="T151" s="155"/>
      <c r="AT151" s="150" t="s">
        <v>193</v>
      </c>
      <c r="AU151" s="150" t="s">
        <v>87</v>
      </c>
      <c r="AV151" s="12" t="s">
        <v>87</v>
      </c>
      <c r="AW151" s="12" t="s">
        <v>36</v>
      </c>
      <c r="AX151" s="12" t="s">
        <v>77</v>
      </c>
      <c r="AY151" s="150" t="s">
        <v>177</v>
      </c>
    </row>
    <row r="152" spans="2:51" s="12" customFormat="1" ht="11.25">
      <c r="B152" s="149"/>
      <c r="D152" s="142" t="s">
        <v>193</v>
      </c>
      <c r="E152" s="150" t="s">
        <v>3</v>
      </c>
      <c r="F152" s="151" t="s">
        <v>2160</v>
      </c>
      <c r="H152" s="152">
        <v>126.4</v>
      </c>
      <c r="I152" s="153"/>
      <c r="L152" s="149"/>
      <c r="M152" s="154"/>
      <c r="T152" s="155"/>
      <c r="AT152" s="150" t="s">
        <v>193</v>
      </c>
      <c r="AU152" s="150" t="s">
        <v>87</v>
      </c>
      <c r="AV152" s="12" t="s">
        <v>87</v>
      </c>
      <c r="AW152" s="12" t="s">
        <v>36</v>
      </c>
      <c r="AX152" s="12" t="s">
        <v>77</v>
      </c>
      <c r="AY152" s="150" t="s">
        <v>177</v>
      </c>
    </row>
    <row r="153" spans="2:51" s="12" customFormat="1" ht="11.25">
      <c r="B153" s="149"/>
      <c r="D153" s="142" t="s">
        <v>193</v>
      </c>
      <c r="E153" s="150" t="s">
        <v>3</v>
      </c>
      <c r="F153" s="151" t="s">
        <v>2160</v>
      </c>
      <c r="H153" s="152">
        <v>126.4</v>
      </c>
      <c r="I153" s="153"/>
      <c r="L153" s="149"/>
      <c r="M153" s="154"/>
      <c r="T153" s="155"/>
      <c r="AT153" s="150" t="s">
        <v>193</v>
      </c>
      <c r="AU153" s="150" t="s">
        <v>87</v>
      </c>
      <c r="AV153" s="12" t="s">
        <v>87</v>
      </c>
      <c r="AW153" s="12" t="s">
        <v>36</v>
      </c>
      <c r="AX153" s="12" t="s">
        <v>77</v>
      </c>
      <c r="AY153" s="150" t="s">
        <v>177</v>
      </c>
    </row>
    <row r="154" spans="2:51" s="15" customFormat="1" ht="11.25">
      <c r="B154" s="169"/>
      <c r="D154" s="142" t="s">
        <v>193</v>
      </c>
      <c r="E154" s="170" t="s">
        <v>3</v>
      </c>
      <c r="F154" s="171" t="s">
        <v>201</v>
      </c>
      <c r="H154" s="172">
        <v>337.6</v>
      </c>
      <c r="I154" s="173"/>
      <c r="L154" s="169"/>
      <c r="M154" s="174"/>
      <c r="T154" s="175"/>
      <c r="AT154" s="170" t="s">
        <v>193</v>
      </c>
      <c r="AU154" s="170" t="s">
        <v>87</v>
      </c>
      <c r="AV154" s="15" t="s">
        <v>185</v>
      </c>
      <c r="AW154" s="15" t="s">
        <v>36</v>
      </c>
      <c r="AX154" s="15" t="s">
        <v>85</v>
      </c>
      <c r="AY154" s="170" t="s">
        <v>177</v>
      </c>
    </row>
    <row r="155" spans="2:65" s="1" customFormat="1" ht="24.2" customHeight="1">
      <c r="B155" s="128"/>
      <c r="C155" s="129" t="s">
        <v>258</v>
      </c>
      <c r="D155" s="129" t="s">
        <v>180</v>
      </c>
      <c r="E155" s="130" t="s">
        <v>2154</v>
      </c>
      <c r="F155" s="131" t="s">
        <v>2155</v>
      </c>
      <c r="G155" s="132" t="s">
        <v>332</v>
      </c>
      <c r="H155" s="133">
        <v>337.6</v>
      </c>
      <c r="I155" s="134"/>
      <c r="J155" s="135">
        <f>ROUND(I155*H155,2)</f>
        <v>0</v>
      </c>
      <c r="K155" s="131" t="s">
        <v>184</v>
      </c>
      <c r="L155" s="33"/>
      <c r="M155" s="136" t="s">
        <v>3</v>
      </c>
      <c r="N155" s="137" t="s">
        <v>48</v>
      </c>
      <c r="P155" s="138">
        <f>O155*H155</f>
        <v>0</v>
      </c>
      <c r="Q155" s="138">
        <v>0.00026</v>
      </c>
      <c r="R155" s="138">
        <f>Q155*H155</f>
        <v>0.08777599999999999</v>
      </c>
      <c r="S155" s="138">
        <v>0</v>
      </c>
      <c r="T155" s="139">
        <f>S155*H155</f>
        <v>0</v>
      </c>
      <c r="AR155" s="140" t="s">
        <v>185</v>
      </c>
      <c r="AT155" s="140" t="s">
        <v>180</v>
      </c>
      <c r="AU155" s="140" t="s">
        <v>87</v>
      </c>
      <c r="AY155" s="18" t="s">
        <v>177</v>
      </c>
      <c r="BE155" s="141">
        <f>IF(N155="základní",J155,0)</f>
        <v>0</v>
      </c>
      <c r="BF155" s="141">
        <f>IF(N155="snížená",J155,0)</f>
        <v>0</v>
      </c>
      <c r="BG155" s="141">
        <f>IF(N155="zákl. přenesená",J155,0)</f>
        <v>0</v>
      </c>
      <c r="BH155" s="141">
        <f>IF(N155="sníž. přenesená",J155,0)</f>
        <v>0</v>
      </c>
      <c r="BI155" s="141">
        <f>IF(N155="nulová",J155,0)</f>
        <v>0</v>
      </c>
      <c r="BJ155" s="18" t="s">
        <v>85</v>
      </c>
      <c r="BK155" s="141">
        <f>ROUND(I155*H155,2)</f>
        <v>0</v>
      </c>
      <c r="BL155" s="18" t="s">
        <v>185</v>
      </c>
      <c r="BM155" s="140" t="s">
        <v>2161</v>
      </c>
    </row>
    <row r="156" spans="2:47" s="1" customFormat="1" ht="19.5">
      <c r="B156" s="33"/>
      <c r="D156" s="142" t="s">
        <v>187</v>
      </c>
      <c r="F156" s="143" t="s">
        <v>2157</v>
      </c>
      <c r="I156" s="144"/>
      <c r="L156" s="33"/>
      <c r="M156" s="145"/>
      <c r="T156" s="54"/>
      <c r="AT156" s="18" t="s">
        <v>187</v>
      </c>
      <c r="AU156" s="18" t="s">
        <v>87</v>
      </c>
    </row>
    <row r="157" spans="2:47" s="1" customFormat="1" ht="11.25">
      <c r="B157" s="33"/>
      <c r="D157" s="146" t="s">
        <v>189</v>
      </c>
      <c r="F157" s="147" t="s">
        <v>2158</v>
      </c>
      <c r="I157" s="144"/>
      <c r="L157" s="33"/>
      <c r="M157" s="145"/>
      <c r="T157" s="54"/>
      <c r="AT157" s="18" t="s">
        <v>189</v>
      </c>
      <c r="AU157" s="18" t="s">
        <v>87</v>
      </c>
    </row>
    <row r="158" spans="2:51" s="12" customFormat="1" ht="11.25">
      <c r="B158" s="149"/>
      <c r="D158" s="142" t="s">
        <v>193</v>
      </c>
      <c r="E158" s="150" t="s">
        <v>3</v>
      </c>
      <c r="F158" s="151" t="s">
        <v>2162</v>
      </c>
      <c r="H158" s="152">
        <v>337.6</v>
      </c>
      <c r="I158" s="153"/>
      <c r="L158" s="149"/>
      <c r="M158" s="154"/>
      <c r="T158" s="155"/>
      <c r="AT158" s="150" t="s">
        <v>193</v>
      </c>
      <c r="AU158" s="150" t="s">
        <v>87</v>
      </c>
      <c r="AV158" s="12" t="s">
        <v>87</v>
      </c>
      <c r="AW158" s="12" t="s">
        <v>36</v>
      </c>
      <c r="AX158" s="12" t="s">
        <v>85</v>
      </c>
      <c r="AY158" s="150" t="s">
        <v>177</v>
      </c>
    </row>
    <row r="159" spans="2:65" s="1" customFormat="1" ht="33" customHeight="1">
      <c r="B159" s="128"/>
      <c r="C159" s="129" t="s">
        <v>265</v>
      </c>
      <c r="D159" s="129" t="s">
        <v>180</v>
      </c>
      <c r="E159" s="130" t="s">
        <v>2163</v>
      </c>
      <c r="F159" s="131" t="s">
        <v>2164</v>
      </c>
      <c r="G159" s="132" t="s">
        <v>332</v>
      </c>
      <c r="H159" s="133">
        <v>337.6</v>
      </c>
      <c r="I159" s="134"/>
      <c r="J159" s="135">
        <f>ROUND(I159*H159,2)</f>
        <v>0</v>
      </c>
      <c r="K159" s="131" t="s">
        <v>184</v>
      </c>
      <c r="L159" s="33"/>
      <c r="M159" s="136" t="s">
        <v>3</v>
      </c>
      <c r="N159" s="137" t="s">
        <v>48</v>
      </c>
      <c r="P159" s="138">
        <f>O159*H159</f>
        <v>0</v>
      </c>
      <c r="Q159" s="138">
        <v>0.004408</v>
      </c>
      <c r="R159" s="138">
        <f>Q159*H159</f>
        <v>1.4881408</v>
      </c>
      <c r="S159" s="138">
        <v>0</v>
      </c>
      <c r="T159" s="139">
        <f>S159*H159</f>
        <v>0</v>
      </c>
      <c r="AR159" s="140" t="s">
        <v>185</v>
      </c>
      <c r="AT159" s="140" t="s">
        <v>180</v>
      </c>
      <c r="AU159" s="140" t="s">
        <v>87</v>
      </c>
      <c r="AY159" s="18" t="s">
        <v>177</v>
      </c>
      <c r="BE159" s="141">
        <f>IF(N159="základní",J159,0)</f>
        <v>0</v>
      </c>
      <c r="BF159" s="141">
        <f>IF(N159="snížená",J159,0)</f>
        <v>0</v>
      </c>
      <c r="BG159" s="141">
        <f>IF(N159="zákl. přenesená",J159,0)</f>
        <v>0</v>
      </c>
      <c r="BH159" s="141">
        <f>IF(N159="sníž. přenesená",J159,0)</f>
        <v>0</v>
      </c>
      <c r="BI159" s="141">
        <f>IF(N159="nulová",J159,0)</f>
        <v>0</v>
      </c>
      <c r="BJ159" s="18" t="s">
        <v>85</v>
      </c>
      <c r="BK159" s="141">
        <f>ROUND(I159*H159,2)</f>
        <v>0</v>
      </c>
      <c r="BL159" s="18" t="s">
        <v>185</v>
      </c>
      <c r="BM159" s="140" t="s">
        <v>2165</v>
      </c>
    </row>
    <row r="160" spans="2:47" s="1" customFormat="1" ht="19.5">
      <c r="B160" s="33"/>
      <c r="D160" s="142" t="s">
        <v>187</v>
      </c>
      <c r="F160" s="143" t="s">
        <v>2166</v>
      </c>
      <c r="I160" s="144"/>
      <c r="L160" s="33"/>
      <c r="M160" s="145"/>
      <c r="T160" s="54"/>
      <c r="AT160" s="18" t="s">
        <v>187</v>
      </c>
      <c r="AU160" s="18" t="s">
        <v>87</v>
      </c>
    </row>
    <row r="161" spans="2:47" s="1" customFormat="1" ht="11.25">
      <c r="B161" s="33"/>
      <c r="D161" s="146" t="s">
        <v>189</v>
      </c>
      <c r="F161" s="147" t="s">
        <v>2167</v>
      </c>
      <c r="I161" s="144"/>
      <c r="L161" s="33"/>
      <c r="M161" s="145"/>
      <c r="T161" s="54"/>
      <c r="AT161" s="18" t="s">
        <v>189</v>
      </c>
      <c r="AU161" s="18" t="s">
        <v>87</v>
      </c>
    </row>
    <row r="162" spans="2:47" s="1" customFormat="1" ht="29.25">
      <c r="B162" s="33"/>
      <c r="D162" s="142" t="s">
        <v>191</v>
      </c>
      <c r="F162" s="148" t="s">
        <v>638</v>
      </c>
      <c r="I162" s="144"/>
      <c r="L162" s="33"/>
      <c r="M162" s="145"/>
      <c r="T162" s="54"/>
      <c r="AT162" s="18" t="s">
        <v>191</v>
      </c>
      <c r="AU162" s="18" t="s">
        <v>87</v>
      </c>
    </row>
    <row r="163" spans="2:65" s="1" customFormat="1" ht="24.2" customHeight="1">
      <c r="B163" s="128"/>
      <c r="C163" s="129" t="s">
        <v>271</v>
      </c>
      <c r="D163" s="129" t="s">
        <v>180</v>
      </c>
      <c r="E163" s="130" t="s">
        <v>2168</v>
      </c>
      <c r="F163" s="131" t="s">
        <v>2169</v>
      </c>
      <c r="G163" s="132" t="s">
        <v>332</v>
      </c>
      <c r="H163" s="133">
        <v>337.6</v>
      </c>
      <c r="I163" s="134"/>
      <c r="J163" s="135">
        <f>ROUND(I163*H163,2)</f>
        <v>0</v>
      </c>
      <c r="K163" s="131" t="s">
        <v>184</v>
      </c>
      <c r="L163" s="33"/>
      <c r="M163" s="136" t="s">
        <v>3</v>
      </c>
      <c r="N163" s="137" t="s">
        <v>48</v>
      </c>
      <c r="P163" s="138">
        <f>O163*H163</f>
        <v>0</v>
      </c>
      <c r="Q163" s="138">
        <v>0.00189</v>
      </c>
      <c r="R163" s="138">
        <f>Q163*H163</f>
        <v>0.6380640000000001</v>
      </c>
      <c r="S163" s="138">
        <v>0</v>
      </c>
      <c r="T163" s="139">
        <f>S163*H163</f>
        <v>0</v>
      </c>
      <c r="AR163" s="140" t="s">
        <v>185</v>
      </c>
      <c r="AT163" s="140" t="s">
        <v>180</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2170</v>
      </c>
    </row>
    <row r="164" spans="2:47" s="1" customFormat="1" ht="19.5">
      <c r="B164" s="33"/>
      <c r="D164" s="142" t="s">
        <v>187</v>
      </c>
      <c r="F164" s="143" t="s">
        <v>2171</v>
      </c>
      <c r="I164" s="144"/>
      <c r="L164" s="33"/>
      <c r="M164" s="145"/>
      <c r="T164" s="54"/>
      <c r="AT164" s="18" t="s">
        <v>187</v>
      </c>
      <c r="AU164" s="18" t="s">
        <v>87</v>
      </c>
    </row>
    <row r="165" spans="2:47" s="1" customFormat="1" ht="11.25">
      <c r="B165" s="33"/>
      <c r="D165" s="146" t="s">
        <v>189</v>
      </c>
      <c r="F165" s="147" t="s">
        <v>2172</v>
      </c>
      <c r="I165" s="144"/>
      <c r="L165" s="33"/>
      <c r="M165" s="145"/>
      <c r="T165" s="54"/>
      <c r="AT165" s="18" t="s">
        <v>189</v>
      </c>
      <c r="AU165" s="18" t="s">
        <v>87</v>
      </c>
    </row>
    <row r="166" spans="2:65" s="1" customFormat="1" ht="24.2" customHeight="1">
      <c r="B166" s="128"/>
      <c r="C166" s="129" t="s">
        <v>277</v>
      </c>
      <c r="D166" s="129" t="s">
        <v>180</v>
      </c>
      <c r="E166" s="130" t="s">
        <v>2173</v>
      </c>
      <c r="F166" s="131" t="s">
        <v>2174</v>
      </c>
      <c r="G166" s="132" t="s">
        <v>332</v>
      </c>
      <c r="H166" s="133">
        <v>539.2</v>
      </c>
      <c r="I166" s="134"/>
      <c r="J166" s="135">
        <f>ROUND(I166*H166,2)</f>
        <v>0</v>
      </c>
      <c r="K166" s="131" t="s">
        <v>184</v>
      </c>
      <c r="L166" s="33"/>
      <c r="M166" s="136" t="s">
        <v>3</v>
      </c>
      <c r="N166" s="137" t="s">
        <v>48</v>
      </c>
      <c r="P166" s="138">
        <f>O166*H166</f>
        <v>0</v>
      </c>
      <c r="Q166" s="138">
        <v>0.09384</v>
      </c>
      <c r="R166" s="138">
        <f>Q166*H166</f>
        <v>50.59852800000001</v>
      </c>
      <c r="S166" s="138">
        <v>0</v>
      </c>
      <c r="T166" s="139">
        <f>S166*H166</f>
        <v>0</v>
      </c>
      <c r="AR166" s="140" t="s">
        <v>185</v>
      </c>
      <c r="AT166" s="140" t="s">
        <v>180</v>
      </c>
      <c r="AU166" s="140" t="s">
        <v>87</v>
      </c>
      <c r="AY166" s="18" t="s">
        <v>177</v>
      </c>
      <c r="BE166" s="141">
        <f>IF(N166="základní",J166,0)</f>
        <v>0</v>
      </c>
      <c r="BF166" s="141">
        <f>IF(N166="snížená",J166,0)</f>
        <v>0</v>
      </c>
      <c r="BG166" s="141">
        <f>IF(N166="zákl. přenesená",J166,0)</f>
        <v>0</v>
      </c>
      <c r="BH166" s="141">
        <f>IF(N166="sníž. přenesená",J166,0)</f>
        <v>0</v>
      </c>
      <c r="BI166" s="141">
        <f>IF(N166="nulová",J166,0)</f>
        <v>0</v>
      </c>
      <c r="BJ166" s="18" t="s">
        <v>85</v>
      </c>
      <c r="BK166" s="141">
        <f>ROUND(I166*H166,2)</f>
        <v>0</v>
      </c>
      <c r="BL166" s="18" t="s">
        <v>185</v>
      </c>
      <c r="BM166" s="140" t="s">
        <v>2175</v>
      </c>
    </row>
    <row r="167" spans="2:47" s="1" customFormat="1" ht="11.25">
      <c r="B167" s="33"/>
      <c r="D167" s="142" t="s">
        <v>187</v>
      </c>
      <c r="F167" s="143" t="s">
        <v>2176</v>
      </c>
      <c r="I167" s="144"/>
      <c r="L167" s="33"/>
      <c r="M167" s="145"/>
      <c r="T167" s="54"/>
      <c r="AT167" s="18" t="s">
        <v>187</v>
      </c>
      <c r="AU167" s="18" t="s">
        <v>87</v>
      </c>
    </row>
    <row r="168" spans="2:47" s="1" customFormat="1" ht="11.25">
      <c r="B168" s="33"/>
      <c r="D168" s="146" t="s">
        <v>189</v>
      </c>
      <c r="F168" s="147" t="s">
        <v>2177</v>
      </c>
      <c r="I168" s="144"/>
      <c r="L168" s="33"/>
      <c r="M168" s="145"/>
      <c r="T168" s="54"/>
      <c r="AT168" s="18" t="s">
        <v>189</v>
      </c>
      <c r="AU168" s="18" t="s">
        <v>87</v>
      </c>
    </row>
    <row r="169" spans="2:47" s="1" customFormat="1" ht="48.75">
      <c r="B169" s="33"/>
      <c r="D169" s="142" t="s">
        <v>191</v>
      </c>
      <c r="F169" s="148" t="s">
        <v>2178</v>
      </c>
      <c r="I169" s="144"/>
      <c r="L169" s="33"/>
      <c r="M169" s="145"/>
      <c r="T169" s="54"/>
      <c r="AT169" s="18" t="s">
        <v>191</v>
      </c>
      <c r="AU169" s="18" t="s">
        <v>87</v>
      </c>
    </row>
    <row r="170" spans="2:65" s="1" customFormat="1" ht="24.2" customHeight="1">
      <c r="B170" s="128"/>
      <c r="C170" s="129" t="s">
        <v>283</v>
      </c>
      <c r="D170" s="129" t="s">
        <v>180</v>
      </c>
      <c r="E170" s="130" t="s">
        <v>2179</v>
      </c>
      <c r="F170" s="131" t="s">
        <v>2180</v>
      </c>
      <c r="G170" s="132" t="s">
        <v>332</v>
      </c>
      <c r="H170" s="133">
        <v>2.94</v>
      </c>
      <c r="I170" s="134"/>
      <c r="J170" s="135">
        <f>ROUND(I170*H170,2)</f>
        <v>0</v>
      </c>
      <c r="K170" s="131" t="s">
        <v>184</v>
      </c>
      <c r="L170" s="33"/>
      <c r="M170" s="136" t="s">
        <v>3</v>
      </c>
      <c r="N170" s="137" t="s">
        <v>48</v>
      </c>
      <c r="P170" s="138">
        <f>O170*H170</f>
        <v>0</v>
      </c>
      <c r="Q170" s="138">
        <v>0.1173</v>
      </c>
      <c r="R170" s="138">
        <f>Q170*H170</f>
        <v>0.344862</v>
      </c>
      <c r="S170" s="138">
        <v>0</v>
      </c>
      <c r="T170" s="139">
        <f>S170*H170</f>
        <v>0</v>
      </c>
      <c r="AR170" s="140" t="s">
        <v>185</v>
      </c>
      <c r="AT170" s="140" t="s">
        <v>180</v>
      </c>
      <c r="AU170" s="140" t="s">
        <v>87</v>
      </c>
      <c r="AY170" s="18" t="s">
        <v>177</v>
      </c>
      <c r="BE170" s="141">
        <f>IF(N170="základní",J170,0)</f>
        <v>0</v>
      </c>
      <c r="BF170" s="141">
        <f>IF(N170="snížená",J170,0)</f>
        <v>0</v>
      </c>
      <c r="BG170" s="141">
        <f>IF(N170="zákl. přenesená",J170,0)</f>
        <v>0</v>
      </c>
      <c r="BH170" s="141">
        <f>IF(N170="sníž. přenesená",J170,0)</f>
        <v>0</v>
      </c>
      <c r="BI170" s="141">
        <f>IF(N170="nulová",J170,0)</f>
        <v>0</v>
      </c>
      <c r="BJ170" s="18" t="s">
        <v>85</v>
      </c>
      <c r="BK170" s="141">
        <f>ROUND(I170*H170,2)</f>
        <v>0</v>
      </c>
      <c r="BL170" s="18" t="s">
        <v>185</v>
      </c>
      <c r="BM170" s="140" t="s">
        <v>2181</v>
      </c>
    </row>
    <row r="171" spans="2:47" s="1" customFormat="1" ht="11.25">
      <c r="B171" s="33"/>
      <c r="D171" s="142" t="s">
        <v>187</v>
      </c>
      <c r="F171" s="143" t="s">
        <v>2182</v>
      </c>
      <c r="I171" s="144"/>
      <c r="L171" s="33"/>
      <c r="M171" s="145"/>
      <c r="T171" s="54"/>
      <c r="AT171" s="18" t="s">
        <v>187</v>
      </c>
      <c r="AU171" s="18" t="s">
        <v>87</v>
      </c>
    </row>
    <row r="172" spans="2:47" s="1" customFormat="1" ht="11.25">
      <c r="B172" s="33"/>
      <c r="D172" s="146" t="s">
        <v>189</v>
      </c>
      <c r="F172" s="147" t="s">
        <v>2183</v>
      </c>
      <c r="I172" s="144"/>
      <c r="L172" s="33"/>
      <c r="M172" s="145"/>
      <c r="T172" s="54"/>
      <c r="AT172" s="18" t="s">
        <v>189</v>
      </c>
      <c r="AU172" s="18" t="s">
        <v>87</v>
      </c>
    </row>
    <row r="173" spans="2:47" s="1" customFormat="1" ht="48.75">
      <c r="B173" s="33"/>
      <c r="D173" s="142" t="s">
        <v>191</v>
      </c>
      <c r="F173" s="148" t="s">
        <v>2178</v>
      </c>
      <c r="I173" s="144"/>
      <c r="L173" s="33"/>
      <c r="M173" s="145"/>
      <c r="T173" s="54"/>
      <c r="AT173" s="18" t="s">
        <v>191</v>
      </c>
      <c r="AU173" s="18" t="s">
        <v>87</v>
      </c>
    </row>
    <row r="174" spans="2:65" s="1" customFormat="1" ht="24.2" customHeight="1">
      <c r="B174" s="128"/>
      <c r="C174" s="129" t="s">
        <v>9</v>
      </c>
      <c r="D174" s="129" t="s">
        <v>180</v>
      </c>
      <c r="E174" s="130" t="s">
        <v>2184</v>
      </c>
      <c r="F174" s="131" t="s">
        <v>2185</v>
      </c>
      <c r="G174" s="132" t="s">
        <v>332</v>
      </c>
      <c r="H174" s="133">
        <v>17.64</v>
      </c>
      <c r="I174" s="134"/>
      <c r="J174" s="135">
        <f>ROUND(I174*H174,2)</f>
        <v>0</v>
      </c>
      <c r="K174" s="131" t="s">
        <v>184</v>
      </c>
      <c r="L174" s="33"/>
      <c r="M174" s="136" t="s">
        <v>3</v>
      </c>
      <c r="N174" s="137" t="s">
        <v>48</v>
      </c>
      <c r="P174" s="138">
        <f>O174*H174</f>
        <v>0</v>
      </c>
      <c r="Q174" s="138">
        <v>0.01173</v>
      </c>
      <c r="R174" s="138">
        <f>Q174*H174</f>
        <v>0.20691720000000002</v>
      </c>
      <c r="S174" s="138">
        <v>0</v>
      </c>
      <c r="T174" s="139">
        <f>S174*H174</f>
        <v>0</v>
      </c>
      <c r="AR174" s="140" t="s">
        <v>185</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2186</v>
      </c>
    </row>
    <row r="175" spans="2:47" s="1" customFormat="1" ht="19.5">
      <c r="B175" s="33"/>
      <c r="D175" s="142" t="s">
        <v>187</v>
      </c>
      <c r="F175" s="143" t="s">
        <v>2187</v>
      </c>
      <c r="I175" s="144"/>
      <c r="L175" s="33"/>
      <c r="M175" s="145"/>
      <c r="T175" s="54"/>
      <c r="AT175" s="18" t="s">
        <v>187</v>
      </c>
      <c r="AU175" s="18" t="s">
        <v>87</v>
      </c>
    </row>
    <row r="176" spans="2:47" s="1" customFormat="1" ht="11.25">
      <c r="B176" s="33"/>
      <c r="D176" s="146" t="s">
        <v>189</v>
      </c>
      <c r="F176" s="147" t="s">
        <v>2188</v>
      </c>
      <c r="I176" s="144"/>
      <c r="L176" s="33"/>
      <c r="M176" s="145"/>
      <c r="T176" s="54"/>
      <c r="AT176" s="18" t="s">
        <v>189</v>
      </c>
      <c r="AU176" s="18" t="s">
        <v>87</v>
      </c>
    </row>
    <row r="177" spans="2:47" s="1" customFormat="1" ht="48.75">
      <c r="B177" s="33"/>
      <c r="D177" s="142" t="s">
        <v>191</v>
      </c>
      <c r="F177" s="148" t="s">
        <v>2178</v>
      </c>
      <c r="I177" s="144"/>
      <c r="L177" s="33"/>
      <c r="M177" s="145"/>
      <c r="T177" s="54"/>
      <c r="AT177" s="18" t="s">
        <v>191</v>
      </c>
      <c r="AU177" s="18" t="s">
        <v>87</v>
      </c>
    </row>
    <row r="178" spans="2:51" s="12" customFormat="1" ht="11.25">
      <c r="B178" s="149"/>
      <c r="D178" s="142" t="s">
        <v>193</v>
      </c>
      <c r="E178" s="150" t="s">
        <v>3</v>
      </c>
      <c r="F178" s="151" t="s">
        <v>2189</v>
      </c>
      <c r="H178" s="152">
        <v>17.64</v>
      </c>
      <c r="I178" s="153"/>
      <c r="L178" s="149"/>
      <c r="M178" s="154"/>
      <c r="T178" s="155"/>
      <c r="AT178" s="150" t="s">
        <v>193</v>
      </c>
      <c r="AU178" s="150" t="s">
        <v>87</v>
      </c>
      <c r="AV178" s="12" t="s">
        <v>87</v>
      </c>
      <c r="AW178" s="12" t="s">
        <v>36</v>
      </c>
      <c r="AX178" s="12" t="s">
        <v>85</v>
      </c>
      <c r="AY178" s="150" t="s">
        <v>177</v>
      </c>
    </row>
    <row r="179" spans="2:65" s="1" customFormat="1" ht="16.5" customHeight="1">
      <c r="B179" s="128"/>
      <c r="C179" s="129" t="s">
        <v>237</v>
      </c>
      <c r="D179" s="129" t="s">
        <v>180</v>
      </c>
      <c r="E179" s="130" t="s">
        <v>2190</v>
      </c>
      <c r="F179" s="131" t="s">
        <v>2191</v>
      </c>
      <c r="G179" s="132" t="s">
        <v>332</v>
      </c>
      <c r="H179" s="133">
        <v>542.14</v>
      </c>
      <c r="I179" s="134"/>
      <c r="J179" s="135">
        <f>ROUND(I179*H179,2)</f>
        <v>0</v>
      </c>
      <c r="K179" s="131" t="s">
        <v>184</v>
      </c>
      <c r="L179" s="33"/>
      <c r="M179" s="136" t="s">
        <v>3</v>
      </c>
      <c r="N179" s="137" t="s">
        <v>48</v>
      </c>
      <c r="P179" s="138">
        <f>O179*H179</f>
        <v>0</v>
      </c>
      <c r="Q179" s="138">
        <v>0.000132</v>
      </c>
      <c r="R179" s="138">
        <f>Q179*H179</f>
        <v>0.07156248</v>
      </c>
      <c r="S179" s="138">
        <v>0</v>
      </c>
      <c r="T179" s="139">
        <f>S179*H179</f>
        <v>0</v>
      </c>
      <c r="AR179" s="140" t="s">
        <v>185</v>
      </c>
      <c r="AT179" s="140" t="s">
        <v>180</v>
      </c>
      <c r="AU179" s="140" t="s">
        <v>87</v>
      </c>
      <c r="AY179" s="18" t="s">
        <v>177</v>
      </c>
      <c r="BE179" s="141">
        <f>IF(N179="základní",J179,0)</f>
        <v>0</v>
      </c>
      <c r="BF179" s="141">
        <f>IF(N179="snížená",J179,0)</f>
        <v>0</v>
      </c>
      <c r="BG179" s="141">
        <f>IF(N179="zákl. přenesená",J179,0)</f>
        <v>0</v>
      </c>
      <c r="BH179" s="141">
        <f>IF(N179="sníž. přenesená",J179,0)</f>
        <v>0</v>
      </c>
      <c r="BI179" s="141">
        <f>IF(N179="nulová",J179,0)</f>
        <v>0</v>
      </c>
      <c r="BJ179" s="18" t="s">
        <v>85</v>
      </c>
      <c r="BK179" s="141">
        <f>ROUND(I179*H179,2)</f>
        <v>0</v>
      </c>
      <c r="BL179" s="18" t="s">
        <v>185</v>
      </c>
      <c r="BM179" s="140" t="s">
        <v>2192</v>
      </c>
    </row>
    <row r="180" spans="2:47" s="1" customFormat="1" ht="19.5">
      <c r="B180" s="33"/>
      <c r="D180" s="142" t="s">
        <v>187</v>
      </c>
      <c r="F180" s="143" t="s">
        <v>2193</v>
      </c>
      <c r="I180" s="144"/>
      <c r="L180" s="33"/>
      <c r="M180" s="145"/>
      <c r="T180" s="54"/>
      <c r="AT180" s="18" t="s">
        <v>187</v>
      </c>
      <c r="AU180" s="18" t="s">
        <v>87</v>
      </c>
    </row>
    <row r="181" spans="2:47" s="1" customFormat="1" ht="11.25">
      <c r="B181" s="33"/>
      <c r="D181" s="146" t="s">
        <v>189</v>
      </c>
      <c r="F181" s="147" t="s">
        <v>2194</v>
      </c>
      <c r="I181" s="144"/>
      <c r="L181" s="33"/>
      <c r="M181" s="145"/>
      <c r="T181" s="54"/>
      <c r="AT181" s="18" t="s">
        <v>189</v>
      </c>
      <c r="AU181" s="18" t="s">
        <v>87</v>
      </c>
    </row>
    <row r="182" spans="2:65" s="1" customFormat="1" ht="33" customHeight="1">
      <c r="B182" s="128"/>
      <c r="C182" s="129" t="s">
        <v>302</v>
      </c>
      <c r="D182" s="129" t="s">
        <v>180</v>
      </c>
      <c r="E182" s="130" t="s">
        <v>2195</v>
      </c>
      <c r="F182" s="131" t="s">
        <v>2196</v>
      </c>
      <c r="G182" s="132" t="s">
        <v>476</v>
      </c>
      <c r="H182" s="133">
        <v>344.865</v>
      </c>
      <c r="I182" s="134"/>
      <c r="J182" s="135">
        <f>ROUND(I182*H182,2)</f>
        <v>0</v>
      </c>
      <c r="K182" s="131" t="s">
        <v>184</v>
      </c>
      <c r="L182" s="33"/>
      <c r="M182" s="136" t="s">
        <v>3</v>
      </c>
      <c r="N182" s="137" t="s">
        <v>48</v>
      </c>
      <c r="P182" s="138">
        <f>O182*H182</f>
        <v>0</v>
      </c>
      <c r="Q182" s="138">
        <v>2.1E-05</v>
      </c>
      <c r="R182" s="138">
        <f>Q182*H182</f>
        <v>0.007242165</v>
      </c>
      <c r="S182" s="138">
        <v>0</v>
      </c>
      <c r="T182" s="139">
        <f>S182*H182</f>
        <v>0</v>
      </c>
      <c r="AR182" s="140" t="s">
        <v>185</v>
      </c>
      <c r="AT182" s="140" t="s">
        <v>180</v>
      </c>
      <c r="AU182" s="140" t="s">
        <v>87</v>
      </c>
      <c r="AY182" s="18" t="s">
        <v>177</v>
      </c>
      <c r="BE182" s="141">
        <f>IF(N182="základní",J182,0)</f>
        <v>0</v>
      </c>
      <c r="BF182" s="141">
        <f>IF(N182="snížená",J182,0)</f>
        <v>0</v>
      </c>
      <c r="BG182" s="141">
        <f>IF(N182="zákl. přenesená",J182,0)</f>
        <v>0</v>
      </c>
      <c r="BH182" s="141">
        <f>IF(N182="sníž. přenesená",J182,0)</f>
        <v>0</v>
      </c>
      <c r="BI182" s="141">
        <f>IF(N182="nulová",J182,0)</f>
        <v>0</v>
      </c>
      <c r="BJ182" s="18" t="s">
        <v>85</v>
      </c>
      <c r="BK182" s="141">
        <f>ROUND(I182*H182,2)</f>
        <v>0</v>
      </c>
      <c r="BL182" s="18" t="s">
        <v>185</v>
      </c>
      <c r="BM182" s="140" t="s">
        <v>2197</v>
      </c>
    </row>
    <row r="183" spans="2:47" s="1" customFormat="1" ht="19.5">
      <c r="B183" s="33"/>
      <c r="D183" s="142" t="s">
        <v>187</v>
      </c>
      <c r="F183" s="143" t="s">
        <v>2198</v>
      </c>
      <c r="I183" s="144"/>
      <c r="L183" s="33"/>
      <c r="M183" s="145"/>
      <c r="T183" s="54"/>
      <c r="AT183" s="18" t="s">
        <v>187</v>
      </c>
      <c r="AU183" s="18" t="s">
        <v>87</v>
      </c>
    </row>
    <row r="184" spans="2:47" s="1" customFormat="1" ht="11.25">
      <c r="B184" s="33"/>
      <c r="D184" s="146" t="s">
        <v>189</v>
      </c>
      <c r="F184" s="147" t="s">
        <v>2199</v>
      </c>
      <c r="I184" s="144"/>
      <c r="L184" s="33"/>
      <c r="M184" s="145"/>
      <c r="T184" s="54"/>
      <c r="AT184" s="18" t="s">
        <v>189</v>
      </c>
      <c r="AU184" s="18" t="s">
        <v>87</v>
      </c>
    </row>
    <row r="185" spans="2:51" s="13" customFormat="1" ht="11.25">
      <c r="B185" s="156"/>
      <c r="D185" s="142" t="s">
        <v>193</v>
      </c>
      <c r="E185" s="157" t="s">
        <v>3</v>
      </c>
      <c r="F185" s="158" t="s">
        <v>929</v>
      </c>
      <c r="H185" s="157" t="s">
        <v>3</v>
      </c>
      <c r="I185" s="159"/>
      <c r="L185" s="156"/>
      <c r="M185" s="160"/>
      <c r="T185" s="161"/>
      <c r="AT185" s="157" t="s">
        <v>193</v>
      </c>
      <c r="AU185" s="157" t="s">
        <v>87</v>
      </c>
      <c r="AV185" s="13" t="s">
        <v>85</v>
      </c>
      <c r="AW185" s="13" t="s">
        <v>36</v>
      </c>
      <c r="AX185" s="13" t="s">
        <v>77</v>
      </c>
      <c r="AY185" s="157" t="s">
        <v>177</v>
      </c>
    </row>
    <row r="186" spans="2:51" s="12" customFormat="1" ht="11.25">
      <c r="B186" s="149"/>
      <c r="D186" s="142" t="s">
        <v>193</v>
      </c>
      <c r="E186" s="150" t="s">
        <v>3</v>
      </c>
      <c r="F186" s="151" t="s">
        <v>2200</v>
      </c>
      <c r="H186" s="152">
        <v>186.46</v>
      </c>
      <c r="I186" s="153"/>
      <c r="L186" s="149"/>
      <c r="M186" s="154"/>
      <c r="T186" s="155"/>
      <c r="AT186" s="150" t="s">
        <v>193</v>
      </c>
      <c r="AU186" s="150" t="s">
        <v>87</v>
      </c>
      <c r="AV186" s="12" t="s">
        <v>87</v>
      </c>
      <c r="AW186" s="12" t="s">
        <v>36</v>
      </c>
      <c r="AX186" s="12" t="s">
        <v>77</v>
      </c>
      <c r="AY186" s="150" t="s">
        <v>177</v>
      </c>
    </row>
    <row r="187" spans="2:51" s="13" customFormat="1" ht="11.25">
      <c r="B187" s="156"/>
      <c r="D187" s="142" t="s">
        <v>193</v>
      </c>
      <c r="E187" s="157" t="s">
        <v>3</v>
      </c>
      <c r="F187" s="158" t="s">
        <v>937</v>
      </c>
      <c r="H187" s="157" t="s">
        <v>3</v>
      </c>
      <c r="I187" s="159"/>
      <c r="L187" s="156"/>
      <c r="M187" s="160"/>
      <c r="T187" s="161"/>
      <c r="AT187" s="157" t="s">
        <v>193</v>
      </c>
      <c r="AU187" s="157" t="s">
        <v>87</v>
      </c>
      <c r="AV187" s="13" t="s">
        <v>85</v>
      </c>
      <c r="AW187" s="13" t="s">
        <v>36</v>
      </c>
      <c r="AX187" s="13" t="s">
        <v>77</v>
      </c>
      <c r="AY187" s="157" t="s">
        <v>177</v>
      </c>
    </row>
    <row r="188" spans="2:51" s="12" customFormat="1" ht="11.25">
      <c r="B188" s="149"/>
      <c r="D188" s="142" t="s">
        <v>193</v>
      </c>
      <c r="E188" s="150" t="s">
        <v>3</v>
      </c>
      <c r="F188" s="151" t="s">
        <v>2201</v>
      </c>
      <c r="H188" s="152">
        <v>158.405</v>
      </c>
      <c r="I188" s="153"/>
      <c r="L188" s="149"/>
      <c r="M188" s="154"/>
      <c r="T188" s="155"/>
      <c r="AT188" s="150" t="s">
        <v>193</v>
      </c>
      <c r="AU188" s="150" t="s">
        <v>87</v>
      </c>
      <c r="AV188" s="12" t="s">
        <v>87</v>
      </c>
      <c r="AW188" s="12" t="s">
        <v>36</v>
      </c>
      <c r="AX188" s="12" t="s">
        <v>77</v>
      </c>
      <c r="AY188" s="150" t="s">
        <v>177</v>
      </c>
    </row>
    <row r="189" spans="2:51" s="15" customFormat="1" ht="11.25">
      <c r="B189" s="169"/>
      <c r="D189" s="142" t="s">
        <v>193</v>
      </c>
      <c r="E189" s="170" t="s">
        <v>3</v>
      </c>
      <c r="F189" s="171" t="s">
        <v>201</v>
      </c>
      <c r="H189" s="172">
        <v>344.865</v>
      </c>
      <c r="I189" s="173"/>
      <c r="L189" s="169"/>
      <c r="M189" s="174"/>
      <c r="T189" s="175"/>
      <c r="AT189" s="170" t="s">
        <v>193</v>
      </c>
      <c r="AU189" s="170" t="s">
        <v>87</v>
      </c>
      <c r="AV189" s="15" t="s">
        <v>185</v>
      </c>
      <c r="AW189" s="15" t="s">
        <v>36</v>
      </c>
      <c r="AX189" s="15" t="s">
        <v>85</v>
      </c>
      <c r="AY189" s="170" t="s">
        <v>177</v>
      </c>
    </row>
    <row r="190" spans="2:63" s="11" customFormat="1" ht="22.9" customHeight="1">
      <c r="B190" s="116"/>
      <c r="D190" s="117" t="s">
        <v>76</v>
      </c>
      <c r="E190" s="126" t="s">
        <v>252</v>
      </c>
      <c r="F190" s="126" t="s">
        <v>329</v>
      </c>
      <c r="I190" s="119"/>
      <c r="J190" s="127">
        <f>BK190</f>
        <v>0</v>
      </c>
      <c r="L190" s="116"/>
      <c r="M190" s="121"/>
      <c r="P190" s="122">
        <f>SUM(P191:P210)</f>
        <v>0</v>
      </c>
      <c r="R190" s="122">
        <f>SUM(R191:R210)</f>
        <v>0.159984</v>
      </c>
      <c r="T190" s="123">
        <f>SUM(T191:T210)</f>
        <v>6.33</v>
      </c>
      <c r="AR190" s="117" t="s">
        <v>85</v>
      </c>
      <c r="AT190" s="124" t="s">
        <v>76</v>
      </c>
      <c r="AU190" s="124" t="s">
        <v>85</v>
      </c>
      <c r="AY190" s="117" t="s">
        <v>177</v>
      </c>
      <c r="BK190" s="125">
        <f>SUM(BK191:BK210)</f>
        <v>0</v>
      </c>
    </row>
    <row r="191" spans="2:65" s="1" customFormat="1" ht="33" customHeight="1">
      <c r="B191" s="128"/>
      <c r="C191" s="129" t="s">
        <v>315</v>
      </c>
      <c r="D191" s="129" t="s">
        <v>180</v>
      </c>
      <c r="E191" s="130" t="s">
        <v>681</v>
      </c>
      <c r="F191" s="131" t="s">
        <v>682</v>
      </c>
      <c r="G191" s="132" t="s">
        <v>332</v>
      </c>
      <c r="H191" s="133">
        <v>969.6</v>
      </c>
      <c r="I191" s="134"/>
      <c r="J191" s="135">
        <f>ROUND(I191*H191,2)</f>
        <v>0</v>
      </c>
      <c r="K191" s="131" t="s">
        <v>184</v>
      </c>
      <c r="L191" s="33"/>
      <c r="M191" s="136" t="s">
        <v>3</v>
      </c>
      <c r="N191" s="137" t="s">
        <v>48</v>
      </c>
      <c r="P191" s="138">
        <f>O191*H191</f>
        <v>0</v>
      </c>
      <c r="Q191" s="138">
        <v>0.00013</v>
      </c>
      <c r="R191" s="138">
        <f>Q191*H191</f>
        <v>0.126048</v>
      </c>
      <c r="S191" s="138">
        <v>0</v>
      </c>
      <c r="T191" s="139">
        <f>S191*H191</f>
        <v>0</v>
      </c>
      <c r="AR191" s="140" t="s">
        <v>185</v>
      </c>
      <c r="AT191" s="140" t="s">
        <v>180</v>
      </c>
      <c r="AU191" s="140" t="s">
        <v>87</v>
      </c>
      <c r="AY191" s="18" t="s">
        <v>177</v>
      </c>
      <c r="BE191" s="141">
        <f>IF(N191="základní",J191,0)</f>
        <v>0</v>
      </c>
      <c r="BF191" s="141">
        <f>IF(N191="snížená",J191,0)</f>
        <v>0</v>
      </c>
      <c r="BG191" s="141">
        <f>IF(N191="zákl. přenesená",J191,0)</f>
        <v>0</v>
      </c>
      <c r="BH191" s="141">
        <f>IF(N191="sníž. přenesená",J191,0)</f>
        <v>0</v>
      </c>
      <c r="BI191" s="141">
        <f>IF(N191="nulová",J191,0)</f>
        <v>0</v>
      </c>
      <c r="BJ191" s="18" t="s">
        <v>85</v>
      </c>
      <c r="BK191" s="141">
        <f>ROUND(I191*H191,2)</f>
        <v>0</v>
      </c>
      <c r="BL191" s="18" t="s">
        <v>185</v>
      </c>
      <c r="BM191" s="140" t="s">
        <v>2202</v>
      </c>
    </row>
    <row r="192" spans="2:47" s="1" customFormat="1" ht="19.5">
      <c r="B192" s="33"/>
      <c r="D192" s="142" t="s">
        <v>187</v>
      </c>
      <c r="F192" s="143" t="s">
        <v>684</v>
      </c>
      <c r="I192" s="144"/>
      <c r="L192" s="33"/>
      <c r="M192" s="145"/>
      <c r="T192" s="54"/>
      <c r="AT192" s="18" t="s">
        <v>187</v>
      </c>
      <c r="AU192" s="18" t="s">
        <v>87</v>
      </c>
    </row>
    <row r="193" spans="2:47" s="1" customFormat="1" ht="11.25">
      <c r="B193" s="33"/>
      <c r="D193" s="146" t="s">
        <v>189</v>
      </c>
      <c r="F193" s="147" t="s">
        <v>685</v>
      </c>
      <c r="I193" s="144"/>
      <c r="L193" s="33"/>
      <c r="M193" s="145"/>
      <c r="T193" s="54"/>
      <c r="AT193" s="18" t="s">
        <v>189</v>
      </c>
      <c r="AU193" s="18" t="s">
        <v>87</v>
      </c>
    </row>
    <row r="194" spans="2:47" s="1" customFormat="1" ht="78">
      <c r="B194" s="33"/>
      <c r="D194" s="142" t="s">
        <v>191</v>
      </c>
      <c r="F194" s="148" t="s">
        <v>336</v>
      </c>
      <c r="I194" s="144"/>
      <c r="L194" s="33"/>
      <c r="M194" s="145"/>
      <c r="T194" s="54"/>
      <c r="AT194" s="18" t="s">
        <v>191</v>
      </c>
      <c r="AU194" s="18" t="s">
        <v>87</v>
      </c>
    </row>
    <row r="195" spans="2:51" s="12" customFormat="1" ht="11.25">
      <c r="B195" s="149"/>
      <c r="D195" s="142" t="s">
        <v>193</v>
      </c>
      <c r="E195" s="150" t="s">
        <v>3</v>
      </c>
      <c r="F195" s="151" t="s">
        <v>338</v>
      </c>
      <c r="H195" s="152">
        <v>657.6</v>
      </c>
      <c r="I195" s="153"/>
      <c r="L195" s="149"/>
      <c r="M195" s="154"/>
      <c r="T195" s="155"/>
      <c r="AT195" s="150" t="s">
        <v>193</v>
      </c>
      <c r="AU195" s="150" t="s">
        <v>87</v>
      </c>
      <c r="AV195" s="12" t="s">
        <v>87</v>
      </c>
      <c r="AW195" s="12" t="s">
        <v>36</v>
      </c>
      <c r="AX195" s="12" t="s">
        <v>77</v>
      </c>
      <c r="AY195" s="150" t="s">
        <v>177</v>
      </c>
    </row>
    <row r="196" spans="2:51" s="12" customFormat="1" ht="11.25">
      <c r="B196" s="149"/>
      <c r="D196" s="142" t="s">
        <v>193</v>
      </c>
      <c r="E196" s="150" t="s">
        <v>3</v>
      </c>
      <c r="F196" s="151" t="s">
        <v>337</v>
      </c>
      <c r="H196" s="152">
        <v>312</v>
      </c>
      <c r="I196" s="153"/>
      <c r="L196" s="149"/>
      <c r="M196" s="154"/>
      <c r="T196" s="155"/>
      <c r="AT196" s="150" t="s">
        <v>193</v>
      </c>
      <c r="AU196" s="150" t="s">
        <v>87</v>
      </c>
      <c r="AV196" s="12" t="s">
        <v>87</v>
      </c>
      <c r="AW196" s="12" t="s">
        <v>36</v>
      </c>
      <c r="AX196" s="12" t="s">
        <v>77</v>
      </c>
      <c r="AY196" s="150" t="s">
        <v>177</v>
      </c>
    </row>
    <row r="197" spans="2:51" s="15" customFormat="1" ht="11.25">
      <c r="B197" s="169"/>
      <c r="D197" s="142" t="s">
        <v>193</v>
      </c>
      <c r="E197" s="170" t="s">
        <v>3</v>
      </c>
      <c r="F197" s="171" t="s">
        <v>201</v>
      </c>
      <c r="H197" s="172">
        <v>969.6</v>
      </c>
      <c r="I197" s="173"/>
      <c r="L197" s="169"/>
      <c r="M197" s="174"/>
      <c r="T197" s="175"/>
      <c r="AT197" s="170" t="s">
        <v>193</v>
      </c>
      <c r="AU197" s="170" t="s">
        <v>87</v>
      </c>
      <c r="AV197" s="15" t="s">
        <v>185</v>
      </c>
      <c r="AW197" s="15" t="s">
        <v>36</v>
      </c>
      <c r="AX197" s="15" t="s">
        <v>85</v>
      </c>
      <c r="AY197" s="170" t="s">
        <v>177</v>
      </c>
    </row>
    <row r="198" spans="2:65" s="1" customFormat="1" ht="24.2" customHeight="1">
      <c r="B198" s="128"/>
      <c r="C198" s="129" t="s">
        <v>461</v>
      </c>
      <c r="D198" s="129" t="s">
        <v>180</v>
      </c>
      <c r="E198" s="130" t="s">
        <v>339</v>
      </c>
      <c r="F198" s="131" t="s">
        <v>340</v>
      </c>
      <c r="G198" s="132" t="s">
        <v>332</v>
      </c>
      <c r="H198" s="133">
        <v>969.6</v>
      </c>
      <c r="I198" s="134"/>
      <c r="J198" s="135">
        <f>ROUND(I198*H198,2)</f>
        <v>0</v>
      </c>
      <c r="K198" s="131" t="s">
        <v>184</v>
      </c>
      <c r="L198" s="33"/>
      <c r="M198" s="136" t="s">
        <v>3</v>
      </c>
      <c r="N198" s="137" t="s">
        <v>48</v>
      </c>
      <c r="P198" s="138">
        <f>O198*H198</f>
        <v>0</v>
      </c>
      <c r="Q198" s="138">
        <v>3.5E-05</v>
      </c>
      <c r="R198" s="138">
        <f>Q198*H198</f>
        <v>0.033936</v>
      </c>
      <c r="S198" s="138">
        <v>0</v>
      </c>
      <c r="T198" s="139">
        <f>S198*H198</f>
        <v>0</v>
      </c>
      <c r="AR198" s="140" t="s">
        <v>185</v>
      </c>
      <c r="AT198" s="140" t="s">
        <v>180</v>
      </c>
      <c r="AU198" s="140" t="s">
        <v>87</v>
      </c>
      <c r="AY198" s="18" t="s">
        <v>177</v>
      </c>
      <c r="BE198" s="141">
        <f>IF(N198="základní",J198,0)</f>
        <v>0</v>
      </c>
      <c r="BF198" s="141">
        <f>IF(N198="snížená",J198,0)</f>
        <v>0</v>
      </c>
      <c r="BG198" s="141">
        <f>IF(N198="zákl. přenesená",J198,0)</f>
        <v>0</v>
      </c>
      <c r="BH198" s="141">
        <f>IF(N198="sníž. přenesená",J198,0)</f>
        <v>0</v>
      </c>
      <c r="BI198" s="141">
        <f>IF(N198="nulová",J198,0)</f>
        <v>0</v>
      </c>
      <c r="BJ198" s="18" t="s">
        <v>85</v>
      </c>
      <c r="BK198" s="141">
        <f>ROUND(I198*H198,2)</f>
        <v>0</v>
      </c>
      <c r="BL198" s="18" t="s">
        <v>185</v>
      </c>
      <c r="BM198" s="140" t="s">
        <v>2203</v>
      </c>
    </row>
    <row r="199" spans="2:47" s="1" customFormat="1" ht="19.5">
      <c r="B199" s="33"/>
      <c r="D199" s="142" t="s">
        <v>187</v>
      </c>
      <c r="F199" s="143" t="s">
        <v>342</v>
      </c>
      <c r="I199" s="144"/>
      <c r="L199" s="33"/>
      <c r="M199" s="145"/>
      <c r="T199" s="54"/>
      <c r="AT199" s="18" t="s">
        <v>187</v>
      </c>
      <c r="AU199" s="18" t="s">
        <v>87</v>
      </c>
    </row>
    <row r="200" spans="2:47" s="1" customFormat="1" ht="11.25">
      <c r="B200" s="33"/>
      <c r="D200" s="146" t="s">
        <v>189</v>
      </c>
      <c r="F200" s="147" t="s">
        <v>343</v>
      </c>
      <c r="I200" s="144"/>
      <c r="L200" s="33"/>
      <c r="M200" s="145"/>
      <c r="T200" s="54"/>
      <c r="AT200" s="18" t="s">
        <v>189</v>
      </c>
      <c r="AU200" s="18" t="s">
        <v>87</v>
      </c>
    </row>
    <row r="201" spans="2:47" s="1" customFormat="1" ht="273">
      <c r="B201" s="33"/>
      <c r="D201" s="142" t="s">
        <v>191</v>
      </c>
      <c r="F201" s="148" t="s">
        <v>344</v>
      </c>
      <c r="I201" s="144"/>
      <c r="L201" s="33"/>
      <c r="M201" s="145"/>
      <c r="T201" s="54"/>
      <c r="AT201" s="18" t="s">
        <v>191</v>
      </c>
      <c r="AU201" s="18" t="s">
        <v>87</v>
      </c>
    </row>
    <row r="202" spans="2:65" s="1" customFormat="1" ht="24.2" customHeight="1">
      <c r="B202" s="128"/>
      <c r="C202" s="129" t="s">
        <v>467</v>
      </c>
      <c r="D202" s="129" t="s">
        <v>180</v>
      </c>
      <c r="E202" s="130" t="s">
        <v>2204</v>
      </c>
      <c r="F202" s="131" t="s">
        <v>2205</v>
      </c>
      <c r="G202" s="132" t="s">
        <v>476</v>
      </c>
      <c r="H202" s="133">
        <v>110</v>
      </c>
      <c r="I202" s="134"/>
      <c r="J202" s="135">
        <f>ROUND(I202*H202,2)</f>
        <v>0</v>
      </c>
      <c r="K202" s="131" t="s">
        <v>184</v>
      </c>
      <c r="L202" s="33"/>
      <c r="M202" s="136" t="s">
        <v>3</v>
      </c>
      <c r="N202" s="137" t="s">
        <v>48</v>
      </c>
      <c r="P202" s="138">
        <f>O202*H202</f>
        <v>0</v>
      </c>
      <c r="Q202" s="138">
        <v>0</v>
      </c>
      <c r="R202" s="138">
        <f>Q202*H202</f>
        <v>0</v>
      </c>
      <c r="S202" s="138">
        <v>0.013</v>
      </c>
      <c r="T202" s="139">
        <f>S202*H202</f>
        <v>1.43</v>
      </c>
      <c r="AR202" s="140" t="s">
        <v>185</v>
      </c>
      <c r="AT202" s="140" t="s">
        <v>180</v>
      </c>
      <c r="AU202" s="140" t="s">
        <v>87</v>
      </c>
      <c r="AY202" s="18" t="s">
        <v>177</v>
      </c>
      <c r="BE202" s="141">
        <f>IF(N202="základní",J202,0)</f>
        <v>0</v>
      </c>
      <c r="BF202" s="141">
        <f>IF(N202="snížená",J202,0)</f>
        <v>0</v>
      </c>
      <c r="BG202" s="141">
        <f>IF(N202="zákl. přenesená",J202,0)</f>
        <v>0</v>
      </c>
      <c r="BH202" s="141">
        <f>IF(N202="sníž. přenesená",J202,0)</f>
        <v>0</v>
      </c>
      <c r="BI202" s="141">
        <f>IF(N202="nulová",J202,0)</f>
        <v>0</v>
      </c>
      <c r="BJ202" s="18" t="s">
        <v>85</v>
      </c>
      <c r="BK202" s="141">
        <f>ROUND(I202*H202,2)</f>
        <v>0</v>
      </c>
      <c r="BL202" s="18" t="s">
        <v>185</v>
      </c>
      <c r="BM202" s="140" t="s">
        <v>2206</v>
      </c>
    </row>
    <row r="203" spans="2:47" s="1" customFormat="1" ht="19.5">
      <c r="B203" s="33"/>
      <c r="D203" s="142" t="s">
        <v>187</v>
      </c>
      <c r="F203" s="143" t="s">
        <v>2207</v>
      </c>
      <c r="I203" s="144"/>
      <c r="L203" s="33"/>
      <c r="M203" s="145"/>
      <c r="T203" s="54"/>
      <c r="AT203" s="18" t="s">
        <v>187</v>
      </c>
      <c r="AU203" s="18" t="s">
        <v>87</v>
      </c>
    </row>
    <row r="204" spans="2:47" s="1" customFormat="1" ht="11.25">
      <c r="B204" s="33"/>
      <c r="D204" s="146" t="s">
        <v>189</v>
      </c>
      <c r="F204" s="147" t="s">
        <v>2208</v>
      </c>
      <c r="I204" s="144"/>
      <c r="L204" s="33"/>
      <c r="M204" s="145"/>
      <c r="T204" s="54"/>
      <c r="AT204" s="18" t="s">
        <v>189</v>
      </c>
      <c r="AU204" s="18" t="s">
        <v>87</v>
      </c>
    </row>
    <row r="205" spans="2:65" s="1" customFormat="1" ht="24.2" customHeight="1">
      <c r="B205" s="128"/>
      <c r="C205" s="129" t="s">
        <v>8</v>
      </c>
      <c r="D205" s="129" t="s">
        <v>180</v>
      </c>
      <c r="E205" s="130" t="s">
        <v>2209</v>
      </c>
      <c r="F205" s="131" t="s">
        <v>2210</v>
      </c>
      <c r="G205" s="132" t="s">
        <v>476</v>
      </c>
      <c r="H205" s="133">
        <v>50</v>
      </c>
      <c r="I205" s="134"/>
      <c r="J205" s="135">
        <f>ROUND(I205*H205,2)</f>
        <v>0</v>
      </c>
      <c r="K205" s="131" t="s">
        <v>184</v>
      </c>
      <c r="L205" s="33"/>
      <c r="M205" s="136" t="s">
        <v>3</v>
      </c>
      <c r="N205" s="137" t="s">
        <v>48</v>
      </c>
      <c r="P205" s="138">
        <f>O205*H205</f>
        <v>0</v>
      </c>
      <c r="Q205" s="138">
        <v>0</v>
      </c>
      <c r="R205" s="138">
        <f>Q205*H205</f>
        <v>0</v>
      </c>
      <c r="S205" s="138">
        <v>0.018</v>
      </c>
      <c r="T205" s="139">
        <f>S205*H205</f>
        <v>0.8999999999999999</v>
      </c>
      <c r="AR205" s="140" t="s">
        <v>185</v>
      </c>
      <c r="AT205" s="140" t="s">
        <v>180</v>
      </c>
      <c r="AU205" s="140" t="s">
        <v>87</v>
      </c>
      <c r="AY205" s="18" t="s">
        <v>177</v>
      </c>
      <c r="BE205" s="141">
        <f>IF(N205="základní",J205,0)</f>
        <v>0</v>
      </c>
      <c r="BF205" s="141">
        <f>IF(N205="snížená",J205,0)</f>
        <v>0</v>
      </c>
      <c r="BG205" s="141">
        <f>IF(N205="zákl. přenesená",J205,0)</f>
        <v>0</v>
      </c>
      <c r="BH205" s="141">
        <f>IF(N205="sníž. přenesená",J205,0)</f>
        <v>0</v>
      </c>
      <c r="BI205" s="141">
        <f>IF(N205="nulová",J205,0)</f>
        <v>0</v>
      </c>
      <c r="BJ205" s="18" t="s">
        <v>85</v>
      </c>
      <c r="BK205" s="141">
        <f>ROUND(I205*H205,2)</f>
        <v>0</v>
      </c>
      <c r="BL205" s="18" t="s">
        <v>185</v>
      </c>
      <c r="BM205" s="140" t="s">
        <v>2211</v>
      </c>
    </row>
    <row r="206" spans="2:47" s="1" customFormat="1" ht="19.5">
      <c r="B206" s="33"/>
      <c r="D206" s="142" t="s">
        <v>187</v>
      </c>
      <c r="F206" s="143" t="s">
        <v>2212</v>
      </c>
      <c r="I206" s="144"/>
      <c r="L206" s="33"/>
      <c r="M206" s="145"/>
      <c r="T206" s="54"/>
      <c r="AT206" s="18" t="s">
        <v>187</v>
      </c>
      <c r="AU206" s="18" t="s">
        <v>87</v>
      </c>
    </row>
    <row r="207" spans="2:47" s="1" customFormat="1" ht="11.25">
      <c r="B207" s="33"/>
      <c r="D207" s="146" t="s">
        <v>189</v>
      </c>
      <c r="F207" s="147" t="s">
        <v>2213</v>
      </c>
      <c r="I207" s="144"/>
      <c r="L207" s="33"/>
      <c r="M207" s="145"/>
      <c r="T207" s="54"/>
      <c r="AT207" s="18" t="s">
        <v>189</v>
      </c>
      <c r="AU207" s="18" t="s">
        <v>87</v>
      </c>
    </row>
    <row r="208" spans="2:65" s="1" customFormat="1" ht="24.2" customHeight="1">
      <c r="B208" s="128"/>
      <c r="C208" s="129" t="s">
        <v>483</v>
      </c>
      <c r="D208" s="129" t="s">
        <v>180</v>
      </c>
      <c r="E208" s="130" t="s">
        <v>2214</v>
      </c>
      <c r="F208" s="131" t="s">
        <v>2215</v>
      </c>
      <c r="G208" s="132" t="s">
        <v>476</v>
      </c>
      <c r="H208" s="133">
        <v>100</v>
      </c>
      <c r="I208" s="134"/>
      <c r="J208" s="135">
        <f>ROUND(I208*H208,2)</f>
        <v>0</v>
      </c>
      <c r="K208" s="131" t="s">
        <v>184</v>
      </c>
      <c r="L208" s="33"/>
      <c r="M208" s="136" t="s">
        <v>3</v>
      </c>
      <c r="N208" s="137" t="s">
        <v>48</v>
      </c>
      <c r="P208" s="138">
        <f>O208*H208</f>
        <v>0</v>
      </c>
      <c r="Q208" s="138">
        <v>0</v>
      </c>
      <c r="R208" s="138">
        <f>Q208*H208</f>
        <v>0</v>
      </c>
      <c r="S208" s="138">
        <v>0.04</v>
      </c>
      <c r="T208" s="139">
        <f>S208*H208</f>
        <v>4</v>
      </c>
      <c r="AR208" s="140" t="s">
        <v>185</v>
      </c>
      <c r="AT208" s="140" t="s">
        <v>180</v>
      </c>
      <c r="AU208" s="140" t="s">
        <v>87</v>
      </c>
      <c r="AY208" s="18" t="s">
        <v>177</v>
      </c>
      <c r="BE208" s="141">
        <f>IF(N208="základní",J208,0)</f>
        <v>0</v>
      </c>
      <c r="BF208" s="141">
        <f>IF(N208="snížená",J208,0)</f>
        <v>0</v>
      </c>
      <c r="BG208" s="141">
        <f>IF(N208="zákl. přenesená",J208,0)</f>
        <v>0</v>
      </c>
      <c r="BH208" s="141">
        <f>IF(N208="sníž. přenesená",J208,0)</f>
        <v>0</v>
      </c>
      <c r="BI208" s="141">
        <f>IF(N208="nulová",J208,0)</f>
        <v>0</v>
      </c>
      <c r="BJ208" s="18" t="s">
        <v>85</v>
      </c>
      <c r="BK208" s="141">
        <f>ROUND(I208*H208,2)</f>
        <v>0</v>
      </c>
      <c r="BL208" s="18" t="s">
        <v>185</v>
      </c>
      <c r="BM208" s="140" t="s">
        <v>2216</v>
      </c>
    </row>
    <row r="209" spans="2:47" s="1" customFormat="1" ht="19.5">
      <c r="B209" s="33"/>
      <c r="D209" s="142" t="s">
        <v>187</v>
      </c>
      <c r="F209" s="143" t="s">
        <v>2217</v>
      </c>
      <c r="I209" s="144"/>
      <c r="L209" s="33"/>
      <c r="M209" s="145"/>
      <c r="T209" s="54"/>
      <c r="AT209" s="18" t="s">
        <v>187</v>
      </c>
      <c r="AU209" s="18" t="s">
        <v>87</v>
      </c>
    </row>
    <row r="210" spans="2:47" s="1" customFormat="1" ht="11.25">
      <c r="B210" s="33"/>
      <c r="D210" s="146" t="s">
        <v>189</v>
      </c>
      <c r="F210" s="147" t="s">
        <v>2218</v>
      </c>
      <c r="I210" s="144"/>
      <c r="L210" s="33"/>
      <c r="M210" s="145"/>
      <c r="T210" s="54"/>
      <c r="AT210" s="18" t="s">
        <v>189</v>
      </c>
      <c r="AU210" s="18" t="s">
        <v>87</v>
      </c>
    </row>
    <row r="211" spans="2:63" s="11" customFormat="1" ht="22.9" customHeight="1">
      <c r="B211" s="116"/>
      <c r="D211" s="117" t="s">
        <v>76</v>
      </c>
      <c r="E211" s="126" t="s">
        <v>178</v>
      </c>
      <c r="F211" s="126" t="s">
        <v>179</v>
      </c>
      <c r="I211" s="119"/>
      <c r="J211" s="127">
        <f>BK211</f>
        <v>0</v>
      </c>
      <c r="L211" s="116"/>
      <c r="M211" s="121"/>
      <c r="P211" s="122">
        <f>SUM(P212:P233)</f>
        <v>0</v>
      </c>
      <c r="R211" s="122">
        <f>SUM(R212:R233)</f>
        <v>0</v>
      </c>
      <c r="T211" s="123">
        <f>SUM(T212:T233)</f>
        <v>0</v>
      </c>
      <c r="AR211" s="117" t="s">
        <v>85</v>
      </c>
      <c r="AT211" s="124" t="s">
        <v>76</v>
      </c>
      <c r="AU211" s="124" t="s">
        <v>85</v>
      </c>
      <c r="AY211" s="117" t="s">
        <v>177</v>
      </c>
      <c r="BK211" s="125">
        <f>SUM(BK212:BK233)</f>
        <v>0</v>
      </c>
    </row>
    <row r="212" spans="2:65" s="1" customFormat="1" ht="24.2" customHeight="1">
      <c r="B212" s="128"/>
      <c r="C212" s="129" t="s">
        <v>490</v>
      </c>
      <c r="D212" s="129" t="s">
        <v>180</v>
      </c>
      <c r="E212" s="130" t="s">
        <v>181</v>
      </c>
      <c r="F212" s="131" t="s">
        <v>182</v>
      </c>
      <c r="G212" s="132" t="s">
        <v>183</v>
      </c>
      <c r="H212" s="133">
        <v>6.33</v>
      </c>
      <c r="I212" s="134"/>
      <c r="J212" s="135">
        <f>ROUND(I212*H212,2)</f>
        <v>0</v>
      </c>
      <c r="K212" s="131" t="s">
        <v>184</v>
      </c>
      <c r="L212" s="33"/>
      <c r="M212" s="136" t="s">
        <v>3</v>
      </c>
      <c r="N212" s="137" t="s">
        <v>48</v>
      </c>
      <c r="P212" s="138">
        <f>O212*H212</f>
        <v>0</v>
      </c>
      <c r="Q212" s="138">
        <v>0</v>
      </c>
      <c r="R212" s="138">
        <f>Q212*H212</f>
        <v>0</v>
      </c>
      <c r="S212" s="138">
        <v>0</v>
      </c>
      <c r="T212" s="139">
        <f>S212*H212</f>
        <v>0</v>
      </c>
      <c r="AR212" s="140" t="s">
        <v>185</v>
      </c>
      <c r="AT212" s="140" t="s">
        <v>180</v>
      </c>
      <c r="AU212" s="140" t="s">
        <v>87</v>
      </c>
      <c r="AY212" s="18" t="s">
        <v>177</v>
      </c>
      <c r="BE212" s="141">
        <f>IF(N212="základní",J212,0)</f>
        <v>0</v>
      </c>
      <c r="BF212" s="141">
        <f>IF(N212="snížená",J212,0)</f>
        <v>0</v>
      </c>
      <c r="BG212" s="141">
        <f>IF(N212="zákl. přenesená",J212,0)</f>
        <v>0</v>
      </c>
      <c r="BH212" s="141">
        <f>IF(N212="sníž. přenesená",J212,0)</f>
        <v>0</v>
      </c>
      <c r="BI212" s="141">
        <f>IF(N212="nulová",J212,0)</f>
        <v>0</v>
      </c>
      <c r="BJ212" s="18" t="s">
        <v>85</v>
      </c>
      <c r="BK212" s="141">
        <f>ROUND(I212*H212,2)</f>
        <v>0</v>
      </c>
      <c r="BL212" s="18" t="s">
        <v>185</v>
      </c>
      <c r="BM212" s="140" t="s">
        <v>2219</v>
      </c>
    </row>
    <row r="213" spans="2:47" s="1" customFormat="1" ht="19.5">
      <c r="B213" s="33"/>
      <c r="D213" s="142" t="s">
        <v>187</v>
      </c>
      <c r="F213" s="143" t="s">
        <v>188</v>
      </c>
      <c r="I213" s="144"/>
      <c r="L213" s="33"/>
      <c r="M213" s="145"/>
      <c r="T213" s="54"/>
      <c r="AT213" s="18" t="s">
        <v>187</v>
      </c>
      <c r="AU213" s="18" t="s">
        <v>87</v>
      </c>
    </row>
    <row r="214" spans="2:47" s="1" customFormat="1" ht="11.25">
      <c r="B214" s="33"/>
      <c r="D214" s="146" t="s">
        <v>189</v>
      </c>
      <c r="F214" s="147" t="s">
        <v>190</v>
      </c>
      <c r="I214" s="144"/>
      <c r="L214" s="33"/>
      <c r="M214" s="145"/>
      <c r="T214" s="54"/>
      <c r="AT214" s="18" t="s">
        <v>189</v>
      </c>
      <c r="AU214" s="18" t="s">
        <v>87</v>
      </c>
    </row>
    <row r="215" spans="2:47" s="1" customFormat="1" ht="146.25">
      <c r="B215" s="33"/>
      <c r="D215" s="142" t="s">
        <v>191</v>
      </c>
      <c r="F215" s="148" t="s">
        <v>192</v>
      </c>
      <c r="I215" s="144"/>
      <c r="L215" s="33"/>
      <c r="M215" s="145"/>
      <c r="T215" s="54"/>
      <c r="AT215" s="18" t="s">
        <v>191</v>
      </c>
      <c r="AU215" s="18" t="s">
        <v>87</v>
      </c>
    </row>
    <row r="216" spans="2:65" s="1" customFormat="1" ht="33" customHeight="1">
      <c r="B216" s="128"/>
      <c r="C216" s="129" t="s">
        <v>496</v>
      </c>
      <c r="D216" s="129" t="s">
        <v>180</v>
      </c>
      <c r="E216" s="130" t="s">
        <v>202</v>
      </c>
      <c r="F216" s="131" t="s">
        <v>203</v>
      </c>
      <c r="G216" s="132" t="s">
        <v>183</v>
      </c>
      <c r="H216" s="133">
        <v>12.66</v>
      </c>
      <c r="I216" s="134"/>
      <c r="J216" s="135">
        <f>ROUND(I216*H216,2)</f>
        <v>0</v>
      </c>
      <c r="K216" s="131" t="s">
        <v>184</v>
      </c>
      <c r="L216" s="33"/>
      <c r="M216" s="136" t="s">
        <v>3</v>
      </c>
      <c r="N216" s="137" t="s">
        <v>48</v>
      </c>
      <c r="P216" s="138">
        <f>O216*H216</f>
        <v>0</v>
      </c>
      <c r="Q216" s="138">
        <v>0</v>
      </c>
      <c r="R216" s="138">
        <f>Q216*H216</f>
        <v>0</v>
      </c>
      <c r="S216" s="138">
        <v>0</v>
      </c>
      <c r="T216" s="139">
        <f>S216*H216</f>
        <v>0</v>
      </c>
      <c r="AR216" s="140" t="s">
        <v>185</v>
      </c>
      <c r="AT216" s="140" t="s">
        <v>180</v>
      </c>
      <c r="AU216" s="140" t="s">
        <v>87</v>
      </c>
      <c r="AY216" s="18" t="s">
        <v>177</v>
      </c>
      <c r="BE216" s="141">
        <f>IF(N216="základní",J216,0)</f>
        <v>0</v>
      </c>
      <c r="BF216" s="141">
        <f>IF(N216="snížená",J216,0)</f>
        <v>0</v>
      </c>
      <c r="BG216" s="141">
        <f>IF(N216="zákl. přenesená",J216,0)</f>
        <v>0</v>
      </c>
      <c r="BH216" s="141">
        <f>IF(N216="sníž. přenesená",J216,0)</f>
        <v>0</v>
      </c>
      <c r="BI216" s="141">
        <f>IF(N216="nulová",J216,0)</f>
        <v>0</v>
      </c>
      <c r="BJ216" s="18" t="s">
        <v>85</v>
      </c>
      <c r="BK216" s="141">
        <f>ROUND(I216*H216,2)</f>
        <v>0</v>
      </c>
      <c r="BL216" s="18" t="s">
        <v>185</v>
      </c>
      <c r="BM216" s="140" t="s">
        <v>2220</v>
      </c>
    </row>
    <row r="217" spans="2:47" s="1" customFormat="1" ht="39">
      <c r="B217" s="33"/>
      <c r="D217" s="142" t="s">
        <v>187</v>
      </c>
      <c r="F217" s="143" t="s">
        <v>205</v>
      </c>
      <c r="I217" s="144"/>
      <c r="L217" s="33"/>
      <c r="M217" s="145"/>
      <c r="T217" s="54"/>
      <c r="AT217" s="18" t="s">
        <v>187</v>
      </c>
      <c r="AU217" s="18" t="s">
        <v>87</v>
      </c>
    </row>
    <row r="218" spans="2:47" s="1" customFormat="1" ht="11.25">
      <c r="B218" s="33"/>
      <c r="D218" s="146" t="s">
        <v>189</v>
      </c>
      <c r="F218" s="147" t="s">
        <v>206</v>
      </c>
      <c r="I218" s="144"/>
      <c r="L218" s="33"/>
      <c r="M218" s="145"/>
      <c r="T218" s="54"/>
      <c r="AT218" s="18" t="s">
        <v>189</v>
      </c>
      <c r="AU218" s="18" t="s">
        <v>87</v>
      </c>
    </row>
    <row r="219" spans="2:47" s="1" customFormat="1" ht="146.25">
      <c r="B219" s="33"/>
      <c r="D219" s="142" t="s">
        <v>191</v>
      </c>
      <c r="F219" s="148" t="s">
        <v>192</v>
      </c>
      <c r="I219" s="144"/>
      <c r="L219" s="33"/>
      <c r="M219" s="145"/>
      <c r="T219" s="54"/>
      <c r="AT219" s="18" t="s">
        <v>191</v>
      </c>
      <c r="AU219" s="18" t="s">
        <v>87</v>
      </c>
    </row>
    <row r="220" spans="2:51" s="12" customFormat="1" ht="11.25">
      <c r="B220" s="149"/>
      <c r="D220" s="142" t="s">
        <v>193</v>
      </c>
      <c r="F220" s="151" t="s">
        <v>2221</v>
      </c>
      <c r="H220" s="152">
        <v>12.66</v>
      </c>
      <c r="I220" s="153"/>
      <c r="L220" s="149"/>
      <c r="M220" s="154"/>
      <c r="T220" s="155"/>
      <c r="AT220" s="150" t="s">
        <v>193</v>
      </c>
      <c r="AU220" s="150" t="s">
        <v>87</v>
      </c>
      <c r="AV220" s="12" t="s">
        <v>87</v>
      </c>
      <c r="AW220" s="12" t="s">
        <v>4</v>
      </c>
      <c r="AX220" s="12" t="s">
        <v>85</v>
      </c>
      <c r="AY220" s="150" t="s">
        <v>177</v>
      </c>
    </row>
    <row r="221" spans="2:65" s="1" customFormat="1" ht="24.2" customHeight="1">
      <c r="B221" s="128"/>
      <c r="C221" s="129" t="s">
        <v>502</v>
      </c>
      <c r="D221" s="129" t="s">
        <v>180</v>
      </c>
      <c r="E221" s="130" t="s">
        <v>208</v>
      </c>
      <c r="F221" s="131" t="s">
        <v>209</v>
      </c>
      <c r="G221" s="132" t="s">
        <v>183</v>
      </c>
      <c r="H221" s="133">
        <v>6.33</v>
      </c>
      <c r="I221" s="134"/>
      <c r="J221" s="135">
        <f>ROUND(I221*H221,2)</f>
        <v>0</v>
      </c>
      <c r="K221" s="131" t="s">
        <v>184</v>
      </c>
      <c r="L221" s="33"/>
      <c r="M221" s="136" t="s">
        <v>3</v>
      </c>
      <c r="N221" s="137" t="s">
        <v>48</v>
      </c>
      <c r="P221" s="138">
        <f>O221*H221</f>
        <v>0</v>
      </c>
      <c r="Q221" s="138">
        <v>0</v>
      </c>
      <c r="R221" s="138">
        <f>Q221*H221</f>
        <v>0</v>
      </c>
      <c r="S221" s="138">
        <v>0</v>
      </c>
      <c r="T221" s="139">
        <f>S221*H221</f>
        <v>0</v>
      </c>
      <c r="AR221" s="140" t="s">
        <v>185</v>
      </c>
      <c r="AT221" s="140" t="s">
        <v>180</v>
      </c>
      <c r="AU221" s="140" t="s">
        <v>87</v>
      </c>
      <c r="AY221" s="18" t="s">
        <v>177</v>
      </c>
      <c r="BE221" s="141">
        <f>IF(N221="základní",J221,0)</f>
        <v>0</v>
      </c>
      <c r="BF221" s="141">
        <f>IF(N221="snížená",J221,0)</f>
        <v>0</v>
      </c>
      <c r="BG221" s="141">
        <f>IF(N221="zákl. přenesená",J221,0)</f>
        <v>0</v>
      </c>
      <c r="BH221" s="141">
        <f>IF(N221="sníž. přenesená",J221,0)</f>
        <v>0</v>
      </c>
      <c r="BI221" s="141">
        <f>IF(N221="nulová",J221,0)</f>
        <v>0</v>
      </c>
      <c r="BJ221" s="18" t="s">
        <v>85</v>
      </c>
      <c r="BK221" s="141">
        <f>ROUND(I221*H221,2)</f>
        <v>0</v>
      </c>
      <c r="BL221" s="18" t="s">
        <v>185</v>
      </c>
      <c r="BM221" s="140" t="s">
        <v>2222</v>
      </c>
    </row>
    <row r="222" spans="2:47" s="1" customFormat="1" ht="19.5">
      <c r="B222" s="33"/>
      <c r="D222" s="142" t="s">
        <v>187</v>
      </c>
      <c r="F222" s="143" t="s">
        <v>211</v>
      </c>
      <c r="I222" s="144"/>
      <c r="L222" s="33"/>
      <c r="M222" s="145"/>
      <c r="T222" s="54"/>
      <c r="AT222" s="18" t="s">
        <v>187</v>
      </c>
      <c r="AU222" s="18" t="s">
        <v>87</v>
      </c>
    </row>
    <row r="223" spans="2:47" s="1" customFormat="1" ht="11.25">
      <c r="B223" s="33"/>
      <c r="D223" s="146" t="s">
        <v>189</v>
      </c>
      <c r="F223" s="147" t="s">
        <v>212</v>
      </c>
      <c r="I223" s="144"/>
      <c r="L223" s="33"/>
      <c r="M223" s="145"/>
      <c r="T223" s="54"/>
      <c r="AT223" s="18" t="s">
        <v>189</v>
      </c>
      <c r="AU223" s="18" t="s">
        <v>87</v>
      </c>
    </row>
    <row r="224" spans="2:47" s="1" customFormat="1" ht="97.5">
      <c r="B224" s="33"/>
      <c r="D224" s="142" t="s">
        <v>191</v>
      </c>
      <c r="F224" s="148" t="s">
        <v>213</v>
      </c>
      <c r="I224" s="144"/>
      <c r="L224" s="33"/>
      <c r="M224" s="145"/>
      <c r="T224" s="54"/>
      <c r="AT224" s="18" t="s">
        <v>191</v>
      </c>
      <c r="AU224" s="18" t="s">
        <v>87</v>
      </c>
    </row>
    <row r="225" spans="2:65" s="1" customFormat="1" ht="24.2" customHeight="1">
      <c r="B225" s="128"/>
      <c r="C225" s="129" t="s">
        <v>504</v>
      </c>
      <c r="D225" s="129" t="s">
        <v>180</v>
      </c>
      <c r="E225" s="130" t="s">
        <v>214</v>
      </c>
      <c r="F225" s="131" t="s">
        <v>215</v>
      </c>
      <c r="G225" s="132" t="s">
        <v>183</v>
      </c>
      <c r="H225" s="133">
        <v>120.27</v>
      </c>
      <c r="I225" s="134"/>
      <c r="J225" s="135">
        <f>ROUND(I225*H225,2)</f>
        <v>0</v>
      </c>
      <c r="K225" s="131" t="s">
        <v>184</v>
      </c>
      <c r="L225" s="33"/>
      <c r="M225" s="136" t="s">
        <v>3</v>
      </c>
      <c r="N225" s="137" t="s">
        <v>48</v>
      </c>
      <c r="P225" s="138">
        <f>O225*H225</f>
        <v>0</v>
      </c>
      <c r="Q225" s="138">
        <v>0</v>
      </c>
      <c r="R225" s="138">
        <f>Q225*H225</f>
        <v>0</v>
      </c>
      <c r="S225" s="138">
        <v>0</v>
      </c>
      <c r="T225" s="139">
        <f>S225*H225</f>
        <v>0</v>
      </c>
      <c r="AR225" s="140" t="s">
        <v>185</v>
      </c>
      <c r="AT225" s="140" t="s">
        <v>180</v>
      </c>
      <c r="AU225" s="140" t="s">
        <v>87</v>
      </c>
      <c r="AY225" s="18" t="s">
        <v>177</v>
      </c>
      <c r="BE225" s="141">
        <f>IF(N225="základní",J225,0)</f>
        <v>0</v>
      </c>
      <c r="BF225" s="141">
        <f>IF(N225="snížená",J225,0)</f>
        <v>0</v>
      </c>
      <c r="BG225" s="141">
        <f>IF(N225="zákl. přenesená",J225,0)</f>
        <v>0</v>
      </c>
      <c r="BH225" s="141">
        <f>IF(N225="sníž. přenesená",J225,0)</f>
        <v>0</v>
      </c>
      <c r="BI225" s="141">
        <f>IF(N225="nulová",J225,0)</f>
        <v>0</v>
      </c>
      <c r="BJ225" s="18" t="s">
        <v>85</v>
      </c>
      <c r="BK225" s="141">
        <f>ROUND(I225*H225,2)</f>
        <v>0</v>
      </c>
      <c r="BL225" s="18" t="s">
        <v>185</v>
      </c>
      <c r="BM225" s="140" t="s">
        <v>2223</v>
      </c>
    </row>
    <row r="226" spans="2:47" s="1" customFormat="1" ht="29.25">
      <c r="B226" s="33"/>
      <c r="D226" s="142" t="s">
        <v>187</v>
      </c>
      <c r="F226" s="143" t="s">
        <v>217</v>
      </c>
      <c r="I226" s="144"/>
      <c r="L226" s="33"/>
      <c r="M226" s="145"/>
      <c r="T226" s="54"/>
      <c r="AT226" s="18" t="s">
        <v>187</v>
      </c>
      <c r="AU226" s="18" t="s">
        <v>87</v>
      </c>
    </row>
    <row r="227" spans="2:47" s="1" customFormat="1" ht="11.25">
      <c r="B227" s="33"/>
      <c r="D227" s="146" t="s">
        <v>189</v>
      </c>
      <c r="F227" s="147" t="s">
        <v>218</v>
      </c>
      <c r="I227" s="144"/>
      <c r="L227" s="33"/>
      <c r="M227" s="145"/>
      <c r="T227" s="54"/>
      <c r="AT227" s="18" t="s">
        <v>189</v>
      </c>
      <c r="AU227" s="18" t="s">
        <v>87</v>
      </c>
    </row>
    <row r="228" spans="2:47" s="1" customFormat="1" ht="97.5">
      <c r="B228" s="33"/>
      <c r="D228" s="142" t="s">
        <v>191</v>
      </c>
      <c r="F228" s="148" t="s">
        <v>213</v>
      </c>
      <c r="I228" s="144"/>
      <c r="L228" s="33"/>
      <c r="M228" s="145"/>
      <c r="T228" s="54"/>
      <c r="AT228" s="18" t="s">
        <v>191</v>
      </c>
      <c r="AU228" s="18" t="s">
        <v>87</v>
      </c>
    </row>
    <row r="229" spans="2:51" s="12" customFormat="1" ht="11.25">
      <c r="B229" s="149"/>
      <c r="D229" s="142" t="s">
        <v>193</v>
      </c>
      <c r="F229" s="151" t="s">
        <v>2224</v>
      </c>
      <c r="H229" s="152">
        <v>120.27</v>
      </c>
      <c r="I229" s="153"/>
      <c r="L229" s="149"/>
      <c r="M229" s="154"/>
      <c r="T229" s="155"/>
      <c r="AT229" s="150" t="s">
        <v>193</v>
      </c>
      <c r="AU229" s="150" t="s">
        <v>87</v>
      </c>
      <c r="AV229" s="12" t="s">
        <v>87</v>
      </c>
      <c r="AW229" s="12" t="s">
        <v>4</v>
      </c>
      <c r="AX229" s="12" t="s">
        <v>85</v>
      </c>
      <c r="AY229" s="150" t="s">
        <v>177</v>
      </c>
    </row>
    <row r="230" spans="2:65" s="1" customFormat="1" ht="44.25" customHeight="1">
      <c r="B230" s="128"/>
      <c r="C230" s="129" t="s">
        <v>507</v>
      </c>
      <c r="D230" s="129" t="s">
        <v>180</v>
      </c>
      <c r="E230" s="130" t="s">
        <v>223</v>
      </c>
      <c r="F230" s="131" t="s">
        <v>224</v>
      </c>
      <c r="G230" s="132" t="s">
        <v>183</v>
      </c>
      <c r="H230" s="133">
        <v>6.33</v>
      </c>
      <c r="I230" s="134"/>
      <c r="J230" s="135">
        <f>ROUND(I230*H230,2)</f>
        <v>0</v>
      </c>
      <c r="K230" s="131" t="s">
        <v>184</v>
      </c>
      <c r="L230" s="33"/>
      <c r="M230" s="136" t="s">
        <v>3</v>
      </c>
      <c r="N230" s="137" t="s">
        <v>48</v>
      </c>
      <c r="P230" s="138">
        <f>O230*H230</f>
        <v>0</v>
      </c>
      <c r="Q230" s="138">
        <v>0</v>
      </c>
      <c r="R230" s="138">
        <f>Q230*H230</f>
        <v>0</v>
      </c>
      <c r="S230" s="138">
        <v>0</v>
      </c>
      <c r="T230" s="139">
        <f>S230*H230</f>
        <v>0</v>
      </c>
      <c r="AR230" s="140" t="s">
        <v>185</v>
      </c>
      <c r="AT230" s="140" t="s">
        <v>180</v>
      </c>
      <c r="AU230" s="140" t="s">
        <v>87</v>
      </c>
      <c r="AY230" s="18" t="s">
        <v>177</v>
      </c>
      <c r="BE230" s="141">
        <f>IF(N230="základní",J230,0)</f>
        <v>0</v>
      </c>
      <c r="BF230" s="141">
        <f>IF(N230="snížená",J230,0)</f>
        <v>0</v>
      </c>
      <c r="BG230" s="141">
        <f>IF(N230="zákl. přenesená",J230,0)</f>
        <v>0</v>
      </c>
      <c r="BH230" s="141">
        <f>IF(N230="sníž. přenesená",J230,0)</f>
        <v>0</v>
      </c>
      <c r="BI230" s="141">
        <f>IF(N230="nulová",J230,0)</f>
        <v>0</v>
      </c>
      <c r="BJ230" s="18" t="s">
        <v>85</v>
      </c>
      <c r="BK230" s="141">
        <f>ROUND(I230*H230,2)</f>
        <v>0</v>
      </c>
      <c r="BL230" s="18" t="s">
        <v>185</v>
      </c>
      <c r="BM230" s="140" t="s">
        <v>2225</v>
      </c>
    </row>
    <row r="231" spans="2:47" s="1" customFormat="1" ht="29.25">
      <c r="B231" s="33"/>
      <c r="D231" s="142" t="s">
        <v>187</v>
      </c>
      <c r="F231" s="143" t="s">
        <v>226</v>
      </c>
      <c r="I231" s="144"/>
      <c r="L231" s="33"/>
      <c r="M231" s="145"/>
      <c r="T231" s="54"/>
      <c r="AT231" s="18" t="s">
        <v>187</v>
      </c>
      <c r="AU231" s="18" t="s">
        <v>87</v>
      </c>
    </row>
    <row r="232" spans="2:47" s="1" customFormat="1" ht="11.25">
      <c r="B232" s="33"/>
      <c r="D232" s="146" t="s">
        <v>189</v>
      </c>
      <c r="F232" s="147" t="s">
        <v>227</v>
      </c>
      <c r="I232" s="144"/>
      <c r="L232" s="33"/>
      <c r="M232" s="145"/>
      <c r="T232" s="54"/>
      <c r="AT232" s="18" t="s">
        <v>189</v>
      </c>
      <c r="AU232" s="18" t="s">
        <v>87</v>
      </c>
    </row>
    <row r="233" spans="2:47" s="1" customFormat="1" ht="58.5">
      <c r="B233" s="33"/>
      <c r="D233" s="142" t="s">
        <v>191</v>
      </c>
      <c r="F233" s="148" t="s">
        <v>228</v>
      </c>
      <c r="I233" s="144"/>
      <c r="L233" s="33"/>
      <c r="M233" s="145"/>
      <c r="T233" s="54"/>
      <c r="AT233" s="18" t="s">
        <v>191</v>
      </c>
      <c r="AU233" s="18" t="s">
        <v>87</v>
      </c>
    </row>
    <row r="234" spans="2:63" s="11" customFormat="1" ht="22.9" customHeight="1">
      <c r="B234" s="116"/>
      <c r="D234" s="117" t="s">
        <v>76</v>
      </c>
      <c r="E234" s="126" t="s">
        <v>518</v>
      </c>
      <c r="F234" s="126" t="s">
        <v>519</v>
      </c>
      <c r="I234" s="119"/>
      <c r="J234" s="127">
        <f>BK234</f>
        <v>0</v>
      </c>
      <c r="L234" s="116"/>
      <c r="M234" s="121"/>
      <c r="P234" s="122">
        <f>SUM(P235:P238)</f>
        <v>0</v>
      </c>
      <c r="R234" s="122">
        <f>SUM(R235:R238)</f>
        <v>0</v>
      </c>
      <c r="T234" s="123">
        <f>SUM(T235:T238)</f>
        <v>0</v>
      </c>
      <c r="AR234" s="117" t="s">
        <v>85</v>
      </c>
      <c r="AT234" s="124" t="s">
        <v>76</v>
      </c>
      <c r="AU234" s="124" t="s">
        <v>85</v>
      </c>
      <c r="AY234" s="117" t="s">
        <v>177</v>
      </c>
      <c r="BK234" s="125">
        <f>SUM(BK235:BK238)</f>
        <v>0</v>
      </c>
    </row>
    <row r="235" spans="2:65" s="1" customFormat="1" ht="21.75" customHeight="1">
      <c r="B235" s="128"/>
      <c r="C235" s="129" t="s">
        <v>509</v>
      </c>
      <c r="D235" s="129" t="s">
        <v>180</v>
      </c>
      <c r="E235" s="130" t="s">
        <v>521</v>
      </c>
      <c r="F235" s="131" t="s">
        <v>522</v>
      </c>
      <c r="G235" s="132" t="s">
        <v>183</v>
      </c>
      <c r="H235" s="133">
        <v>144.917</v>
      </c>
      <c r="I235" s="134"/>
      <c r="J235" s="135">
        <f>ROUND(I235*H235,2)</f>
        <v>0</v>
      </c>
      <c r="K235" s="131" t="s">
        <v>184</v>
      </c>
      <c r="L235" s="33"/>
      <c r="M235" s="136" t="s">
        <v>3</v>
      </c>
      <c r="N235" s="137" t="s">
        <v>48</v>
      </c>
      <c r="P235" s="138">
        <f>O235*H235</f>
        <v>0</v>
      </c>
      <c r="Q235" s="138">
        <v>0</v>
      </c>
      <c r="R235" s="138">
        <f>Q235*H235</f>
        <v>0</v>
      </c>
      <c r="S235" s="138">
        <v>0</v>
      </c>
      <c r="T235" s="139">
        <f>S235*H235</f>
        <v>0</v>
      </c>
      <c r="AR235" s="140" t="s">
        <v>185</v>
      </c>
      <c r="AT235" s="140" t="s">
        <v>180</v>
      </c>
      <c r="AU235" s="140" t="s">
        <v>87</v>
      </c>
      <c r="AY235" s="18" t="s">
        <v>177</v>
      </c>
      <c r="BE235" s="141">
        <f>IF(N235="základní",J235,0)</f>
        <v>0</v>
      </c>
      <c r="BF235" s="141">
        <f>IF(N235="snížená",J235,0)</f>
        <v>0</v>
      </c>
      <c r="BG235" s="141">
        <f>IF(N235="zákl. přenesená",J235,0)</f>
        <v>0</v>
      </c>
      <c r="BH235" s="141">
        <f>IF(N235="sníž. přenesená",J235,0)</f>
        <v>0</v>
      </c>
      <c r="BI235" s="141">
        <f>IF(N235="nulová",J235,0)</f>
        <v>0</v>
      </c>
      <c r="BJ235" s="18" t="s">
        <v>85</v>
      </c>
      <c r="BK235" s="141">
        <f>ROUND(I235*H235,2)</f>
        <v>0</v>
      </c>
      <c r="BL235" s="18" t="s">
        <v>185</v>
      </c>
      <c r="BM235" s="140" t="s">
        <v>2226</v>
      </c>
    </row>
    <row r="236" spans="2:47" s="1" customFormat="1" ht="39">
      <c r="B236" s="33"/>
      <c r="D236" s="142" t="s">
        <v>187</v>
      </c>
      <c r="F236" s="143" t="s">
        <v>524</v>
      </c>
      <c r="I236" s="144"/>
      <c r="L236" s="33"/>
      <c r="M236" s="145"/>
      <c r="T236" s="54"/>
      <c r="AT236" s="18" t="s">
        <v>187</v>
      </c>
      <c r="AU236" s="18" t="s">
        <v>87</v>
      </c>
    </row>
    <row r="237" spans="2:47" s="1" customFormat="1" ht="11.25">
      <c r="B237" s="33"/>
      <c r="D237" s="146" t="s">
        <v>189</v>
      </c>
      <c r="F237" s="147" t="s">
        <v>525</v>
      </c>
      <c r="I237" s="144"/>
      <c r="L237" s="33"/>
      <c r="M237" s="145"/>
      <c r="T237" s="54"/>
      <c r="AT237" s="18" t="s">
        <v>189</v>
      </c>
      <c r="AU237" s="18" t="s">
        <v>87</v>
      </c>
    </row>
    <row r="238" spans="2:47" s="1" customFormat="1" ht="87.75">
      <c r="B238" s="33"/>
      <c r="D238" s="142" t="s">
        <v>191</v>
      </c>
      <c r="F238" s="148" t="s">
        <v>526</v>
      </c>
      <c r="I238" s="144"/>
      <c r="L238" s="33"/>
      <c r="M238" s="145"/>
      <c r="T238" s="54"/>
      <c r="AT238" s="18" t="s">
        <v>191</v>
      </c>
      <c r="AU238" s="18" t="s">
        <v>87</v>
      </c>
    </row>
    <row r="239" spans="2:63" s="11" customFormat="1" ht="25.9" customHeight="1">
      <c r="B239" s="116"/>
      <c r="D239" s="117" t="s">
        <v>76</v>
      </c>
      <c r="E239" s="118" t="s">
        <v>229</v>
      </c>
      <c r="F239" s="118" t="s">
        <v>230</v>
      </c>
      <c r="I239" s="119"/>
      <c r="J239" s="120">
        <f>BK239</f>
        <v>0</v>
      </c>
      <c r="L239" s="116"/>
      <c r="M239" s="121"/>
      <c r="P239" s="122">
        <f>P240+P266</f>
        <v>0</v>
      </c>
      <c r="R239" s="122">
        <f>R240+R266</f>
        <v>5.542519508500002</v>
      </c>
      <c r="T239" s="123">
        <f>T240+T266</f>
        <v>0</v>
      </c>
      <c r="AR239" s="117" t="s">
        <v>87</v>
      </c>
      <c r="AT239" s="124" t="s">
        <v>76</v>
      </c>
      <c r="AU239" s="124" t="s">
        <v>77</v>
      </c>
      <c r="AY239" s="117" t="s">
        <v>177</v>
      </c>
      <c r="BK239" s="125">
        <f>BK240+BK266</f>
        <v>0</v>
      </c>
    </row>
    <row r="240" spans="2:63" s="11" customFormat="1" ht="22.9" customHeight="1">
      <c r="B240" s="116"/>
      <c r="D240" s="117" t="s">
        <v>76</v>
      </c>
      <c r="E240" s="126" t="s">
        <v>769</v>
      </c>
      <c r="F240" s="126" t="s">
        <v>770</v>
      </c>
      <c r="I240" s="119"/>
      <c r="J240" s="127">
        <f>BK240</f>
        <v>0</v>
      </c>
      <c r="L240" s="116"/>
      <c r="M240" s="121"/>
      <c r="P240" s="122">
        <f>SUM(P241:P265)</f>
        <v>0</v>
      </c>
      <c r="R240" s="122">
        <f>SUM(R241:R265)</f>
        <v>0.9651620000000001</v>
      </c>
      <c r="T240" s="123">
        <f>SUM(T241:T265)</f>
        <v>0</v>
      </c>
      <c r="AR240" s="117" t="s">
        <v>87</v>
      </c>
      <c r="AT240" s="124" t="s">
        <v>76</v>
      </c>
      <c r="AU240" s="124" t="s">
        <v>85</v>
      </c>
      <c r="AY240" s="117" t="s">
        <v>177</v>
      </c>
      <c r="BK240" s="125">
        <f>SUM(BK241:BK265)</f>
        <v>0</v>
      </c>
    </row>
    <row r="241" spans="2:65" s="1" customFormat="1" ht="24.2" customHeight="1">
      <c r="B241" s="128"/>
      <c r="C241" s="129" t="s">
        <v>512</v>
      </c>
      <c r="D241" s="129" t="s">
        <v>180</v>
      </c>
      <c r="E241" s="130" t="s">
        <v>2227</v>
      </c>
      <c r="F241" s="131" t="s">
        <v>2228</v>
      </c>
      <c r="G241" s="132" t="s">
        <v>332</v>
      </c>
      <c r="H241" s="133">
        <v>542.14</v>
      </c>
      <c r="I241" s="134"/>
      <c r="J241" s="135">
        <f>ROUND(I241*H241,2)</f>
        <v>0</v>
      </c>
      <c r="K241" s="131" t="s">
        <v>184</v>
      </c>
      <c r="L241" s="33"/>
      <c r="M241" s="136" t="s">
        <v>3</v>
      </c>
      <c r="N241" s="137" t="s">
        <v>48</v>
      </c>
      <c r="P241" s="138">
        <f>O241*H241</f>
        <v>0</v>
      </c>
      <c r="Q241" s="138">
        <v>0</v>
      </c>
      <c r="R241" s="138">
        <f>Q241*H241</f>
        <v>0</v>
      </c>
      <c r="S241" s="138">
        <v>0</v>
      </c>
      <c r="T241" s="139">
        <f>S241*H241</f>
        <v>0</v>
      </c>
      <c r="AR241" s="140" t="s">
        <v>237</v>
      </c>
      <c r="AT241" s="140" t="s">
        <v>180</v>
      </c>
      <c r="AU241" s="140" t="s">
        <v>87</v>
      </c>
      <c r="AY241" s="18" t="s">
        <v>177</v>
      </c>
      <c r="BE241" s="141">
        <f>IF(N241="základní",J241,0)</f>
        <v>0</v>
      </c>
      <c r="BF241" s="141">
        <f>IF(N241="snížená",J241,0)</f>
        <v>0</v>
      </c>
      <c r="BG241" s="141">
        <f>IF(N241="zákl. přenesená",J241,0)</f>
        <v>0</v>
      </c>
      <c r="BH241" s="141">
        <f>IF(N241="sníž. přenesená",J241,0)</f>
        <v>0</v>
      </c>
      <c r="BI241" s="141">
        <f>IF(N241="nulová",J241,0)</f>
        <v>0</v>
      </c>
      <c r="BJ241" s="18" t="s">
        <v>85</v>
      </c>
      <c r="BK241" s="141">
        <f>ROUND(I241*H241,2)</f>
        <v>0</v>
      </c>
      <c r="BL241" s="18" t="s">
        <v>237</v>
      </c>
      <c r="BM241" s="140" t="s">
        <v>2229</v>
      </c>
    </row>
    <row r="242" spans="2:47" s="1" customFormat="1" ht="19.5">
      <c r="B242" s="33"/>
      <c r="D242" s="142" t="s">
        <v>187</v>
      </c>
      <c r="F242" s="143" t="s">
        <v>2230</v>
      </c>
      <c r="I242" s="144"/>
      <c r="L242" s="33"/>
      <c r="M242" s="145"/>
      <c r="T242" s="54"/>
      <c r="AT242" s="18" t="s">
        <v>187</v>
      </c>
      <c r="AU242" s="18" t="s">
        <v>87</v>
      </c>
    </row>
    <row r="243" spans="2:47" s="1" customFormat="1" ht="11.25">
      <c r="B243" s="33"/>
      <c r="D243" s="146" t="s">
        <v>189</v>
      </c>
      <c r="F243" s="147" t="s">
        <v>2231</v>
      </c>
      <c r="I243" s="144"/>
      <c r="L243" s="33"/>
      <c r="M243" s="145"/>
      <c r="T243" s="54"/>
      <c r="AT243" s="18" t="s">
        <v>189</v>
      </c>
      <c r="AU243" s="18" t="s">
        <v>87</v>
      </c>
    </row>
    <row r="244" spans="2:47" s="1" customFormat="1" ht="48.75">
      <c r="B244" s="33"/>
      <c r="D244" s="142" t="s">
        <v>191</v>
      </c>
      <c r="F244" s="148" t="s">
        <v>2232</v>
      </c>
      <c r="I244" s="144"/>
      <c r="L244" s="33"/>
      <c r="M244" s="145"/>
      <c r="T244" s="54"/>
      <c r="AT244" s="18" t="s">
        <v>191</v>
      </c>
      <c r="AU244" s="18" t="s">
        <v>87</v>
      </c>
    </row>
    <row r="245" spans="2:65" s="1" customFormat="1" ht="24.2" customHeight="1">
      <c r="B245" s="128"/>
      <c r="C245" s="179" t="s">
        <v>520</v>
      </c>
      <c r="D245" s="179" t="s">
        <v>484</v>
      </c>
      <c r="E245" s="180" t="s">
        <v>2233</v>
      </c>
      <c r="F245" s="181" t="s">
        <v>2234</v>
      </c>
      <c r="G245" s="182" t="s">
        <v>332</v>
      </c>
      <c r="H245" s="183">
        <v>593.12</v>
      </c>
      <c r="I245" s="184"/>
      <c r="J245" s="185">
        <f>ROUND(I245*H245,2)</f>
        <v>0</v>
      </c>
      <c r="K245" s="181" t="s">
        <v>184</v>
      </c>
      <c r="L245" s="186"/>
      <c r="M245" s="187" t="s">
        <v>3</v>
      </c>
      <c r="N245" s="188" t="s">
        <v>48</v>
      </c>
      <c r="P245" s="138">
        <f>O245*H245</f>
        <v>0</v>
      </c>
      <c r="Q245" s="138">
        <v>0.0016</v>
      </c>
      <c r="R245" s="138">
        <f>Q245*H245</f>
        <v>0.9489920000000001</v>
      </c>
      <c r="S245" s="138">
        <v>0</v>
      </c>
      <c r="T245" s="139">
        <f>S245*H245</f>
        <v>0</v>
      </c>
      <c r="AR245" s="140" t="s">
        <v>537</v>
      </c>
      <c r="AT245" s="140" t="s">
        <v>484</v>
      </c>
      <c r="AU245" s="140" t="s">
        <v>87</v>
      </c>
      <c r="AY245" s="18" t="s">
        <v>177</v>
      </c>
      <c r="BE245" s="141">
        <f>IF(N245="základní",J245,0)</f>
        <v>0</v>
      </c>
      <c r="BF245" s="141">
        <f>IF(N245="snížená",J245,0)</f>
        <v>0</v>
      </c>
      <c r="BG245" s="141">
        <f>IF(N245="zákl. přenesená",J245,0)</f>
        <v>0</v>
      </c>
      <c r="BH245" s="141">
        <f>IF(N245="sníž. přenesená",J245,0)</f>
        <v>0</v>
      </c>
      <c r="BI245" s="141">
        <f>IF(N245="nulová",J245,0)</f>
        <v>0</v>
      </c>
      <c r="BJ245" s="18" t="s">
        <v>85</v>
      </c>
      <c r="BK245" s="141">
        <f>ROUND(I245*H245,2)</f>
        <v>0</v>
      </c>
      <c r="BL245" s="18" t="s">
        <v>237</v>
      </c>
      <c r="BM245" s="140" t="s">
        <v>2235</v>
      </c>
    </row>
    <row r="246" spans="2:47" s="1" customFormat="1" ht="19.5">
      <c r="B246" s="33"/>
      <c r="D246" s="142" t="s">
        <v>187</v>
      </c>
      <c r="F246" s="143" t="s">
        <v>2236</v>
      </c>
      <c r="I246" s="144"/>
      <c r="L246" s="33"/>
      <c r="M246" s="145"/>
      <c r="T246" s="54"/>
      <c r="AT246" s="18" t="s">
        <v>187</v>
      </c>
      <c r="AU246" s="18" t="s">
        <v>87</v>
      </c>
    </row>
    <row r="247" spans="2:51" s="13" customFormat="1" ht="11.25">
      <c r="B247" s="156"/>
      <c r="D247" s="142" t="s">
        <v>193</v>
      </c>
      <c r="E247" s="157" t="s">
        <v>3</v>
      </c>
      <c r="F247" s="158" t="s">
        <v>929</v>
      </c>
      <c r="H247" s="157" t="s">
        <v>3</v>
      </c>
      <c r="I247" s="159"/>
      <c r="L247" s="156"/>
      <c r="M247" s="160"/>
      <c r="T247" s="161"/>
      <c r="AT247" s="157" t="s">
        <v>193</v>
      </c>
      <c r="AU247" s="157" t="s">
        <v>87</v>
      </c>
      <c r="AV247" s="13" t="s">
        <v>85</v>
      </c>
      <c r="AW247" s="13" t="s">
        <v>36</v>
      </c>
      <c r="AX247" s="13" t="s">
        <v>77</v>
      </c>
      <c r="AY247" s="157" t="s">
        <v>177</v>
      </c>
    </row>
    <row r="248" spans="2:51" s="12" customFormat="1" ht="11.25">
      <c r="B248" s="149"/>
      <c r="D248" s="142" t="s">
        <v>193</v>
      </c>
      <c r="E248" s="150" t="s">
        <v>3</v>
      </c>
      <c r="F248" s="151" t="s">
        <v>2237</v>
      </c>
      <c r="H248" s="152">
        <v>248</v>
      </c>
      <c r="I248" s="153"/>
      <c r="L248" s="149"/>
      <c r="M248" s="154"/>
      <c r="T248" s="155"/>
      <c r="AT248" s="150" t="s">
        <v>193</v>
      </c>
      <c r="AU248" s="150" t="s">
        <v>87</v>
      </c>
      <c r="AV248" s="12" t="s">
        <v>87</v>
      </c>
      <c r="AW248" s="12" t="s">
        <v>36</v>
      </c>
      <c r="AX248" s="12" t="s">
        <v>77</v>
      </c>
      <c r="AY248" s="150" t="s">
        <v>177</v>
      </c>
    </row>
    <row r="249" spans="2:51" s="13" customFormat="1" ht="11.25">
      <c r="B249" s="156"/>
      <c r="D249" s="142" t="s">
        <v>193</v>
      </c>
      <c r="E249" s="157" t="s">
        <v>3</v>
      </c>
      <c r="F249" s="158" t="s">
        <v>937</v>
      </c>
      <c r="H249" s="157" t="s">
        <v>3</v>
      </c>
      <c r="I249" s="159"/>
      <c r="L249" s="156"/>
      <c r="M249" s="160"/>
      <c r="T249" s="161"/>
      <c r="AT249" s="157" t="s">
        <v>193</v>
      </c>
      <c r="AU249" s="157" t="s">
        <v>87</v>
      </c>
      <c r="AV249" s="13" t="s">
        <v>85</v>
      </c>
      <c r="AW249" s="13" t="s">
        <v>36</v>
      </c>
      <c r="AX249" s="13" t="s">
        <v>77</v>
      </c>
      <c r="AY249" s="157" t="s">
        <v>177</v>
      </c>
    </row>
    <row r="250" spans="2:51" s="12" customFormat="1" ht="11.25">
      <c r="B250" s="149"/>
      <c r="D250" s="142" t="s">
        <v>193</v>
      </c>
      <c r="E250" s="150" t="s">
        <v>3</v>
      </c>
      <c r="F250" s="151" t="s">
        <v>1754</v>
      </c>
      <c r="H250" s="152">
        <v>291.2</v>
      </c>
      <c r="I250" s="153"/>
      <c r="L250" s="149"/>
      <c r="M250" s="154"/>
      <c r="T250" s="155"/>
      <c r="AT250" s="150" t="s">
        <v>193</v>
      </c>
      <c r="AU250" s="150" t="s">
        <v>87</v>
      </c>
      <c r="AV250" s="12" t="s">
        <v>87</v>
      </c>
      <c r="AW250" s="12" t="s">
        <v>36</v>
      </c>
      <c r="AX250" s="12" t="s">
        <v>77</v>
      </c>
      <c r="AY250" s="150" t="s">
        <v>177</v>
      </c>
    </row>
    <row r="251" spans="2:51" s="15" customFormat="1" ht="11.25">
      <c r="B251" s="169"/>
      <c r="D251" s="142" t="s">
        <v>193</v>
      </c>
      <c r="E251" s="170" t="s">
        <v>3</v>
      </c>
      <c r="F251" s="171" t="s">
        <v>201</v>
      </c>
      <c r="H251" s="172">
        <v>539.2</v>
      </c>
      <c r="I251" s="173"/>
      <c r="L251" s="169"/>
      <c r="M251" s="174"/>
      <c r="T251" s="175"/>
      <c r="AT251" s="170" t="s">
        <v>193</v>
      </c>
      <c r="AU251" s="170" t="s">
        <v>87</v>
      </c>
      <c r="AV251" s="15" t="s">
        <v>185</v>
      </c>
      <c r="AW251" s="15" t="s">
        <v>36</v>
      </c>
      <c r="AX251" s="15" t="s">
        <v>85</v>
      </c>
      <c r="AY251" s="170" t="s">
        <v>177</v>
      </c>
    </row>
    <row r="252" spans="2:51" s="12" customFormat="1" ht="11.25">
      <c r="B252" s="149"/>
      <c r="D252" s="142" t="s">
        <v>193</v>
      </c>
      <c r="F252" s="151" t="s">
        <v>2238</v>
      </c>
      <c r="H252" s="152">
        <v>593.12</v>
      </c>
      <c r="I252" s="153"/>
      <c r="L252" s="149"/>
      <c r="M252" s="154"/>
      <c r="T252" s="155"/>
      <c r="AT252" s="150" t="s">
        <v>193</v>
      </c>
      <c r="AU252" s="150" t="s">
        <v>87</v>
      </c>
      <c r="AV252" s="12" t="s">
        <v>87</v>
      </c>
      <c r="AW252" s="12" t="s">
        <v>4</v>
      </c>
      <c r="AX252" s="12" t="s">
        <v>85</v>
      </c>
      <c r="AY252" s="150" t="s">
        <v>177</v>
      </c>
    </row>
    <row r="253" spans="2:65" s="1" customFormat="1" ht="24.2" customHeight="1">
      <c r="B253" s="128"/>
      <c r="C253" s="179" t="s">
        <v>527</v>
      </c>
      <c r="D253" s="179" t="s">
        <v>484</v>
      </c>
      <c r="E253" s="180" t="s">
        <v>2239</v>
      </c>
      <c r="F253" s="181" t="s">
        <v>2240</v>
      </c>
      <c r="G253" s="182" t="s">
        <v>332</v>
      </c>
      <c r="H253" s="183">
        <v>3.234</v>
      </c>
      <c r="I253" s="184"/>
      <c r="J253" s="185">
        <f>ROUND(I253*H253,2)</f>
        <v>0</v>
      </c>
      <c r="K253" s="181" t="s">
        <v>184</v>
      </c>
      <c r="L253" s="186"/>
      <c r="M253" s="187" t="s">
        <v>3</v>
      </c>
      <c r="N253" s="188" t="s">
        <v>48</v>
      </c>
      <c r="P253" s="138">
        <f>O253*H253</f>
        <v>0</v>
      </c>
      <c r="Q253" s="138">
        <v>0.005</v>
      </c>
      <c r="R253" s="138">
        <f>Q253*H253</f>
        <v>0.01617</v>
      </c>
      <c r="S253" s="138">
        <v>0</v>
      </c>
      <c r="T253" s="139">
        <f>S253*H253</f>
        <v>0</v>
      </c>
      <c r="AR253" s="140" t="s">
        <v>537</v>
      </c>
      <c r="AT253" s="140" t="s">
        <v>484</v>
      </c>
      <c r="AU253" s="140" t="s">
        <v>87</v>
      </c>
      <c r="AY253" s="18" t="s">
        <v>177</v>
      </c>
      <c r="BE253" s="141">
        <f>IF(N253="základní",J253,0)</f>
        <v>0</v>
      </c>
      <c r="BF253" s="141">
        <f>IF(N253="snížená",J253,0)</f>
        <v>0</v>
      </c>
      <c r="BG253" s="141">
        <f>IF(N253="zákl. přenesená",J253,0)</f>
        <v>0</v>
      </c>
      <c r="BH253" s="141">
        <f>IF(N253="sníž. přenesená",J253,0)</f>
        <v>0</v>
      </c>
      <c r="BI253" s="141">
        <f>IF(N253="nulová",J253,0)</f>
        <v>0</v>
      </c>
      <c r="BJ253" s="18" t="s">
        <v>85</v>
      </c>
      <c r="BK253" s="141">
        <f>ROUND(I253*H253,2)</f>
        <v>0</v>
      </c>
      <c r="BL253" s="18" t="s">
        <v>237</v>
      </c>
      <c r="BM253" s="140" t="s">
        <v>2241</v>
      </c>
    </row>
    <row r="254" spans="2:47" s="1" customFormat="1" ht="11.25">
      <c r="B254" s="33"/>
      <c r="D254" s="142" t="s">
        <v>187</v>
      </c>
      <c r="F254" s="143" t="s">
        <v>2242</v>
      </c>
      <c r="I254" s="144"/>
      <c r="L254" s="33"/>
      <c r="M254" s="145"/>
      <c r="T254" s="54"/>
      <c r="AT254" s="18" t="s">
        <v>187</v>
      </c>
      <c r="AU254" s="18" t="s">
        <v>87</v>
      </c>
    </row>
    <row r="255" spans="2:51" s="13" customFormat="1" ht="11.25">
      <c r="B255" s="156"/>
      <c r="D255" s="142" t="s">
        <v>193</v>
      </c>
      <c r="E255" s="157" t="s">
        <v>3</v>
      </c>
      <c r="F255" s="158" t="s">
        <v>2243</v>
      </c>
      <c r="H255" s="157" t="s">
        <v>3</v>
      </c>
      <c r="I255" s="159"/>
      <c r="L255" s="156"/>
      <c r="M255" s="160"/>
      <c r="T255" s="161"/>
      <c r="AT255" s="157" t="s">
        <v>193</v>
      </c>
      <c r="AU255" s="157" t="s">
        <v>87</v>
      </c>
      <c r="AV255" s="13" t="s">
        <v>85</v>
      </c>
      <c r="AW255" s="13" t="s">
        <v>36</v>
      </c>
      <c r="AX255" s="13" t="s">
        <v>77</v>
      </c>
      <c r="AY255" s="157" t="s">
        <v>177</v>
      </c>
    </row>
    <row r="256" spans="2:51" s="12" customFormat="1" ht="11.25">
      <c r="B256" s="149"/>
      <c r="D256" s="142" t="s">
        <v>193</v>
      </c>
      <c r="E256" s="150" t="s">
        <v>3</v>
      </c>
      <c r="F256" s="151" t="s">
        <v>2244</v>
      </c>
      <c r="H256" s="152">
        <v>2.94</v>
      </c>
      <c r="I256" s="153"/>
      <c r="L256" s="149"/>
      <c r="M256" s="154"/>
      <c r="T256" s="155"/>
      <c r="AT256" s="150" t="s">
        <v>193</v>
      </c>
      <c r="AU256" s="150" t="s">
        <v>87</v>
      </c>
      <c r="AV256" s="12" t="s">
        <v>87</v>
      </c>
      <c r="AW256" s="12" t="s">
        <v>36</v>
      </c>
      <c r="AX256" s="12" t="s">
        <v>85</v>
      </c>
      <c r="AY256" s="150" t="s">
        <v>177</v>
      </c>
    </row>
    <row r="257" spans="2:51" s="12" customFormat="1" ht="11.25">
      <c r="B257" s="149"/>
      <c r="D257" s="142" t="s">
        <v>193</v>
      </c>
      <c r="F257" s="151" t="s">
        <v>2245</v>
      </c>
      <c r="H257" s="152">
        <v>3.234</v>
      </c>
      <c r="I257" s="153"/>
      <c r="L257" s="149"/>
      <c r="M257" s="154"/>
      <c r="T257" s="155"/>
      <c r="AT257" s="150" t="s">
        <v>193</v>
      </c>
      <c r="AU257" s="150" t="s">
        <v>87</v>
      </c>
      <c r="AV257" s="12" t="s">
        <v>87</v>
      </c>
      <c r="AW257" s="12" t="s">
        <v>4</v>
      </c>
      <c r="AX257" s="12" t="s">
        <v>85</v>
      </c>
      <c r="AY257" s="150" t="s">
        <v>177</v>
      </c>
    </row>
    <row r="258" spans="2:65" s="1" customFormat="1" ht="24.2" customHeight="1">
      <c r="B258" s="128"/>
      <c r="C258" s="129" t="s">
        <v>537</v>
      </c>
      <c r="D258" s="129" t="s">
        <v>180</v>
      </c>
      <c r="E258" s="130" t="s">
        <v>787</v>
      </c>
      <c r="F258" s="131" t="s">
        <v>788</v>
      </c>
      <c r="G258" s="132" t="s">
        <v>183</v>
      </c>
      <c r="H258" s="133">
        <v>0.965</v>
      </c>
      <c r="I258" s="134"/>
      <c r="J258" s="135">
        <f>ROUND(I258*H258,2)</f>
        <v>0</v>
      </c>
      <c r="K258" s="131" t="s">
        <v>184</v>
      </c>
      <c r="L258" s="33"/>
      <c r="M258" s="136" t="s">
        <v>3</v>
      </c>
      <c r="N258" s="137" t="s">
        <v>48</v>
      </c>
      <c r="P258" s="138">
        <f>O258*H258</f>
        <v>0</v>
      </c>
      <c r="Q258" s="138">
        <v>0</v>
      </c>
      <c r="R258" s="138">
        <f>Q258*H258</f>
        <v>0</v>
      </c>
      <c r="S258" s="138">
        <v>0</v>
      </c>
      <c r="T258" s="139">
        <f>S258*H258</f>
        <v>0</v>
      </c>
      <c r="AR258" s="140" t="s">
        <v>237</v>
      </c>
      <c r="AT258" s="140" t="s">
        <v>180</v>
      </c>
      <c r="AU258" s="140" t="s">
        <v>87</v>
      </c>
      <c r="AY258" s="18" t="s">
        <v>177</v>
      </c>
      <c r="BE258" s="141">
        <f>IF(N258="základní",J258,0)</f>
        <v>0</v>
      </c>
      <c r="BF258" s="141">
        <f>IF(N258="snížená",J258,0)</f>
        <v>0</v>
      </c>
      <c r="BG258" s="141">
        <f>IF(N258="zákl. přenesená",J258,0)</f>
        <v>0</v>
      </c>
      <c r="BH258" s="141">
        <f>IF(N258="sníž. přenesená",J258,0)</f>
        <v>0</v>
      </c>
      <c r="BI258" s="141">
        <f>IF(N258="nulová",J258,0)</f>
        <v>0</v>
      </c>
      <c r="BJ258" s="18" t="s">
        <v>85</v>
      </c>
      <c r="BK258" s="141">
        <f>ROUND(I258*H258,2)</f>
        <v>0</v>
      </c>
      <c r="BL258" s="18" t="s">
        <v>237</v>
      </c>
      <c r="BM258" s="140" t="s">
        <v>2246</v>
      </c>
    </row>
    <row r="259" spans="2:47" s="1" customFormat="1" ht="29.25">
      <c r="B259" s="33"/>
      <c r="D259" s="142" t="s">
        <v>187</v>
      </c>
      <c r="F259" s="143" t="s">
        <v>790</v>
      </c>
      <c r="I259" s="144"/>
      <c r="L259" s="33"/>
      <c r="M259" s="145"/>
      <c r="T259" s="54"/>
      <c r="AT259" s="18" t="s">
        <v>187</v>
      </c>
      <c r="AU259" s="18" t="s">
        <v>87</v>
      </c>
    </row>
    <row r="260" spans="2:47" s="1" customFormat="1" ht="11.25">
      <c r="B260" s="33"/>
      <c r="D260" s="146" t="s">
        <v>189</v>
      </c>
      <c r="F260" s="147" t="s">
        <v>791</v>
      </c>
      <c r="I260" s="144"/>
      <c r="L260" s="33"/>
      <c r="M260" s="145"/>
      <c r="T260" s="54"/>
      <c r="AT260" s="18" t="s">
        <v>189</v>
      </c>
      <c r="AU260" s="18" t="s">
        <v>87</v>
      </c>
    </row>
    <row r="261" spans="2:47" s="1" customFormat="1" ht="126.75">
      <c r="B261" s="33"/>
      <c r="D261" s="142" t="s">
        <v>191</v>
      </c>
      <c r="F261" s="148" t="s">
        <v>792</v>
      </c>
      <c r="I261" s="144"/>
      <c r="L261" s="33"/>
      <c r="M261" s="145"/>
      <c r="T261" s="54"/>
      <c r="AT261" s="18" t="s">
        <v>191</v>
      </c>
      <c r="AU261" s="18" t="s">
        <v>87</v>
      </c>
    </row>
    <row r="262" spans="2:65" s="1" customFormat="1" ht="24.2" customHeight="1">
      <c r="B262" s="128"/>
      <c r="C262" s="129" t="s">
        <v>756</v>
      </c>
      <c r="D262" s="129" t="s">
        <v>180</v>
      </c>
      <c r="E262" s="130" t="s">
        <v>794</v>
      </c>
      <c r="F262" s="131" t="s">
        <v>795</v>
      </c>
      <c r="G262" s="132" t="s">
        <v>183</v>
      </c>
      <c r="H262" s="133">
        <v>0.965</v>
      </c>
      <c r="I262" s="134"/>
      <c r="J262" s="135">
        <f>ROUND(I262*H262,2)</f>
        <v>0</v>
      </c>
      <c r="K262" s="131" t="s">
        <v>184</v>
      </c>
      <c r="L262" s="33"/>
      <c r="M262" s="136" t="s">
        <v>3</v>
      </c>
      <c r="N262" s="137" t="s">
        <v>48</v>
      </c>
      <c r="P262" s="138">
        <f>O262*H262</f>
        <v>0</v>
      </c>
      <c r="Q262" s="138">
        <v>0</v>
      </c>
      <c r="R262" s="138">
        <f>Q262*H262</f>
        <v>0</v>
      </c>
      <c r="S262" s="138">
        <v>0</v>
      </c>
      <c r="T262" s="139">
        <f>S262*H262</f>
        <v>0</v>
      </c>
      <c r="AR262" s="140" t="s">
        <v>237</v>
      </c>
      <c r="AT262" s="140" t="s">
        <v>180</v>
      </c>
      <c r="AU262" s="140" t="s">
        <v>87</v>
      </c>
      <c r="AY262" s="18" t="s">
        <v>177</v>
      </c>
      <c r="BE262" s="141">
        <f>IF(N262="základní",J262,0)</f>
        <v>0</v>
      </c>
      <c r="BF262" s="141">
        <f>IF(N262="snížená",J262,0)</f>
        <v>0</v>
      </c>
      <c r="BG262" s="141">
        <f>IF(N262="zákl. přenesená",J262,0)</f>
        <v>0</v>
      </c>
      <c r="BH262" s="141">
        <f>IF(N262="sníž. přenesená",J262,0)</f>
        <v>0</v>
      </c>
      <c r="BI262" s="141">
        <f>IF(N262="nulová",J262,0)</f>
        <v>0</v>
      </c>
      <c r="BJ262" s="18" t="s">
        <v>85</v>
      </c>
      <c r="BK262" s="141">
        <f>ROUND(I262*H262,2)</f>
        <v>0</v>
      </c>
      <c r="BL262" s="18" t="s">
        <v>237</v>
      </c>
      <c r="BM262" s="140" t="s">
        <v>2247</v>
      </c>
    </row>
    <row r="263" spans="2:47" s="1" customFormat="1" ht="29.25">
      <c r="B263" s="33"/>
      <c r="D263" s="142" t="s">
        <v>187</v>
      </c>
      <c r="F263" s="143" t="s">
        <v>797</v>
      </c>
      <c r="I263" s="144"/>
      <c r="L263" s="33"/>
      <c r="M263" s="145"/>
      <c r="T263" s="54"/>
      <c r="AT263" s="18" t="s">
        <v>187</v>
      </c>
      <c r="AU263" s="18" t="s">
        <v>87</v>
      </c>
    </row>
    <row r="264" spans="2:47" s="1" customFormat="1" ht="11.25">
      <c r="B264" s="33"/>
      <c r="D264" s="146" t="s">
        <v>189</v>
      </c>
      <c r="F264" s="147" t="s">
        <v>798</v>
      </c>
      <c r="I264" s="144"/>
      <c r="L264" s="33"/>
      <c r="M264" s="145"/>
      <c r="T264" s="54"/>
      <c r="AT264" s="18" t="s">
        <v>189</v>
      </c>
      <c r="AU264" s="18" t="s">
        <v>87</v>
      </c>
    </row>
    <row r="265" spans="2:47" s="1" customFormat="1" ht="126.75">
      <c r="B265" s="33"/>
      <c r="D265" s="142" t="s">
        <v>191</v>
      </c>
      <c r="F265" s="148" t="s">
        <v>792</v>
      </c>
      <c r="I265" s="144"/>
      <c r="L265" s="33"/>
      <c r="M265" s="145"/>
      <c r="T265" s="54"/>
      <c r="AT265" s="18" t="s">
        <v>191</v>
      </c>
      <c r="AU265" s="18" t="s">
        <v>87</v>
      </c>
    </row>
    <row r="266" spans="2:63" s="11" customFormat="1" ht="22.9" customHeight="1">
      <c r="B266" s="116"/>
      <c r="D266" s="117" t="s">
        <v>76</v>
      </c>
      <c r="E266" s="126" t="s">
        <v>1557</v>
      </c>
      <c r="F266" s="126" t="s">
        <v>1558</v>
      </c>
      <c r="I266" s="119"/>
      <c r="J266" s="127">
        <f>BK266</f>
        <v>0</v>
      </c>
      <c r="L266" s="116"/>
      <c r="M266" s="121"/>
      <c r="P266" s="122">
        <f>SUM(P267:P317)</f>
        <v>0</v>
      </c>
      <c r="R266" s="122">
        <f>SUM(R267:R317)</f>
        <v>4.577357508500001</v>
      </c>
      <c r="T266" s="123">
        <f>SUM(T267:T317)</f>
        <v>0</v>
      </c>
      <c r="AR266" s="117" t="s">
        <v>87</v>
      </c>
      <c r="AT266" s="124" t="s">
        <v>76</v>
      </c>
      <c r="AU266" s="124" t="s">
        <v>85</v>
      </c>
      <c r="AY266" s="117" t="s">
        <v>177</v>
      </c>
      <c r="BK266" s="125">
        <f>SUM(BK267:BK317)</f>
        <v>0</v>
      </c>
    </row>
    <row r="267" spans="2:65" s="1" customFormat="1" ht="37.9" customHeight="1">
      <c r="B267" s="128"/>
      <c r="C267" s="129" t="s">
        <v>763</v>
      </c>
      <c r="D267" s="129" t="s">
        <v>180</v>
      </c>
      <c r="E267" s="130" t="s">
        <v>2248</v>
      </c>
      <c r="F267" s="131" t="s">
        <v>2249</v>
      </c>
      <c r="G267" s="132" t="s">
        <v>332</v>
      </c>
      <c r="H267" s="133">
        <v>119.52</v>
      </c>
      <c r="I267" s="134"/>
      <c r="J267" s="135">
        <f>ROUND(I267*H267,2)</f>
        <v>0</v>
      </c>
      <c r="K267" s="131" t="s">
        <v>184</v>
      </c>
      <c r="L267" s="33"/>
      <c r="M267" s="136" t="s">
        <v>3</v>
      </c>
      <c r="N267" s="137" t="s">
        <v>48</v>
      </c>
      <c r="P267" s="138">
        <f>O267*H267</f>
        <v>0</v>
      </c>
      <c r="Q267" s="138">
        <v>0.000260425</v>
      </c>
      <c r="R267" s="138">
        <f>Q267*H267</f>
        <v>0.031125996</v>
      </c>
      <c r="S267" s="138">
        <v>0</v>
      </c>
      <c r="T267" s="139">
        <f>S267*H267</f>
        <v>0</v>
      </c>
      <c r="AR267" s="140" t="s">
        <v>237</v>
      </c>
      <c r="AT267" s="140" t="s">
        <v>180</v>
      </c>
      <c r="AU267" s="140" t="s">
        <v>87</v>
      </c>
      <c r="AY267" s="18" t="s">
        <v>177</v>
      </c>
      <c r="BE267" s="141">
        <f>IF(N267="základní",J267,0)</f>
        <v>0</v>
      </c>
      <c r="BF267" s="141">
        <f>IF(N267="snížená",J267,0)</f>
        <v>0</v>
      </c>
      <c r="BG267" s="141">
        <f>IF(N267="zákl. přenesená",J267,0)</f>
        <v>0</v>
      </c>
      <c r="BH267" s="141">
        <f>IF(N267="sníž. přenesená",J267,0)</f>
        <v>0</v>
      </c>
      <c r="BI267" s="141">
        <f>IF(N267="nulová",J267,0)</f>
        <v>0</v>
      </c>
      <c r="BJ267" s="18" t="s">
        <v>85</v>
      </c>
      <c r="BK267" s="141">
        <f>ROUND(I267*H267,2)</f>
        <v>0</v>
      </c>
      <c r="BL267" s="18" t="s">
        <v>237</v>
      </c>
      <c r="BM267" s="140" t="s">
        <v>2250</v>
      </c>
    </row>
    <row r="268" spans="2:47" s="1" customFormat="1" ht="29.25">
      <c r="B268" s="33"/>
      <c r="D268" s="142" t="s">
        <v>187</v>
      </c>
      <c r="F268" s="143" t="s">
        <v>2251</v>
      </c>
      <c r="I268" s="144"/>
      <c r="L268" s="33"/>
      <c r="M268" s="145"/>
      <c r="T268" s="54"/>
      <c r="AT268" s="18" t="s">
        <v>187</v>
      </c>
      <c r="AU268" s="18" t="s">
        <v>87</v>
      </c>
    </row>
    <row r="269" spans="2:47" s="1" customFormat="1" ht="11.25">
      <c r="B269" s="33"/>
      <c r="D269" s="146" t="s">
        <v>189</v>
      </c>
      <c r="F269" s="147" t="s">
        <v>2252</v>
      </c>
      <c r="I269" s="144"/>
      <c r="L269" s="33"/>
      <c r="M269" s="145"/>
      <c r="T269" s="54"/>
      <c r="AT269" s="18" t="s">
        <v>189</v>
      </c>
      <c r="AU269" s="18" t="s">
        <v>87</v>
      </c>
    </row>
    <row r="270" spans="2:47" s="1" customFormat="1" ht="126.75">
      <c r="B270" s="33"/>
      <c r="D270" s="142" t="s">
        <v>191</v>
      </c>
      <c r="F270" s="148" t="s">
        <v>2253</v>
      </c>
      <c r="I270" s="144"/>
      <c r="L270" s="33"/>
      <c r="M270" s="145"/>
      <c r="T270" s="54"/>
      <c r="AT270" s="18" t="s">
        <v>191</v>
      </c>
      <c r="AU270" s="18" t="s">
        <v>87</v>
      </c>
    </row>
    <row r="271" spans="2:51" s="12" customFormat="1" ht="11.25">
      <c r="B271" s="149"/>
      <c r="D271" s="142" t="s">
        <v>193</v>
      </c>
      <c r="E271" s="150" t="s">
        <v>3</v>
      </c>
      <c r="F271" s="151" t="s">
        <v>2254</v>
      </c>
      <c r="H271" s="152">
        <v>46.08</v>
      </c>
      <c r="I271" s="153"/>
      <c r="L271" s="149"/>
      <c r="M271" s="154"/>
      <c r="T271" s="155"/>
      <c r="AT271" s="150" t="s">
        <v>193</v>
      </c>
      <c r="AU271" s="150" t="s">
        <v>87</v>
      </c>
      <c r="AV271" s="12" t="s">
        <v>87</v>
      </c>
      <c r="AW271" s="12" t="s">
        <v>36</v>
      </c>
      <c r="AX271" s="12" t="s">
        <v>77</v>
      </c>
      <c r="AY271" s="150" t="s">
        <v>177</v>
      </c>
    </row>
    <row r="272" spans="2:51" s="12" customFormat="1" ht="11.25">
      <c r="B272" s="149"/>
      <c r="D272" s="142" t="s">
        <v>193</v>
      </c>
      <c r="E272" s="150" t="s">
        <v>3</v>
      </c>
      <c r="F272" s="151" t="s">
        <v>2255</v>
      </c>
      <c r="H272" s="152">
        <v>34.56</v>
      </c>
      <c r="I272" s="153"/>
      <c r="L272" s="149"/>
      <c r="M272" s="154"/>
      <c r="T272" s="155"/>
      <c r="AT272" s="150" t="s">
        <v>193</v>
      </c>
      <c r="AU272" s="150" t="s">
        <v>87</v>
      </c>
      <c r="AV272" s="12" t="s">
        <v>87</v>
      </c>
      <c r="AW272" s="12" t="s">
        <v>36</v>
      </c>
      <c r="AX272" s="12" t="s">
        <v>77</v>
      </c>
      <c r="AY272" s="150" t="s">
        <v>177</v>
      </c>
    </row>
    <row r="273" spans="2:51" s="12" customFormat="1" ht="11.25">
      <c r="B273" s="149"/>
      <c r="D273" s="142" t="s">
        <v>193</v>
      </c>
      <c r="E273" s="150" t="s">
        <v>3</v>
      </c>
      <c r="F273" s="151" t="s">
        <v>2256</v>
      </c>
      <c r="H273" s="152">
        <v>17.28</v>
      </c>
      <c r="I273" s="153"/>
      <c r="L273" s="149"/>
      <c r="M273" s="154"/>
      <c r="T273" s="155"/>
      <c r="AT273" s="150" t="s">
        <v>193</v>
      </c>
      <c r="AU273" s="150" t="s">
        <v>87</v>
      </c>
      <c r="AV273" s="12" t="s">
        <v>87</v>
      </c>
      <c r="AW273" s="12" t="s">
        <v>36</v>
      </c>
      <c r="AX273" s="12" t="s">
        <v>77</v>
      </c>
      <c r="AY273" s="150" t="s">
        <v>177</v>
      </c>
    </row>
    <row r="274" spans="2:51" s="12" customFormat="1" ht="11.25">
      <c r="B274" s="149"/>
      <c r="D274" s="142" t="s">
        <v>193</v>
      </c>
      <c r="E274" s="150" t="s">
        <v>3</v>
      </c>
      <c r="F274" s="151" t="s">
        <v>2257</v>
      </c>
      <c r="H274" s="152">
        <v>17.28</v>
      </c>
      <c r="I274" s="153"/>
      <c r="L274" s="149"/>
      <c r="M274" s="154"/>
      <c r="T274" s="155"/>
      <c r="AT274" s="150" t="s">
        <v>193</v>
      </c>
      <c r="AU274" s="150" t="s">
        <v>87</v>
      </c>
      <c r="AV274" s="12" t="s">
        <v>87</v>
      </c>
      <c r="AW274" s="12" t="s">
        <v>36</v>
      </c>
      <c r="AX274" s="12" t="s">
        <v>77</v>
      </c>
      <c r="AY274" s="150" t="s">
        <v>177</v>
      </c>
    </row>
    <row r="275" spans="2:51" s="12" customFormat="1" ht="11.25">
      <c r="B275" s="149"/>
      <c r="D275" s="142" t="s">
        <v>193</v>
      </c>
      <c r="E275" s="150" t="s">
        <v>3</v>
      </c>
      <c r="F275" s="151" t="s">
        <v>2258</v>
      </c>
      <c r="H275" s="152">
        <v>4.32</v>
      </c>
      <c r="I275" s="153"/>
      <c r="L275" s="149"/>
      <c r="M275" s="154"/>
      <c r="T275" s="155"/>
      <c r="AT275" s="150" t="s">
        <v>193</v>
      </c>
      <c r="AU275" s="150" t="s">
        <v>87</v>
      </c>
      <c r="AV275" s="12" t="s">
        <v>87</v>
      </c>
      <c r="AW275" s="12" t="s">
        <v>36</v>
      </c>
      <c r="AX275" s="12" t="s">
        <v>77</v>
      </c>
      <c r="AY275" s="150" t="s">
        <v>177</v>
      </c>
    </row>
    <row r="276" spans="2:51" s="15" customFormat="1" ht="11.25">
      <c r="B276" s="169"/>
      <c r="D276" s="142" t="s">
        <v>193</v>
      </c>
      <c r="E276" s="170" t="s">
        <v>3</v>
      </c>
      <c r="F276" s="171" t="s">
        <v>201</v>
      </c>
      <c r="H276" s="172">
        <v>119.52000000000001</v>
      </c>
      <c r="I276" s="173"/>
      <c r="L276" s="169"/>
      <c r="M276" s="174"/>
      <c r="T276" s="175"/>
      <c r="AT276" s="170" t="s">
        <v>193</v>
      </c>
      <c r="AU276" s="170" t="s">
        <v>87</v>
      </c>
      <c r="AV276" s="15" t="s">
        <v>185</v>
      </c>
      <c r="AW276" s="15" t="s">
        <v>36</v>
      </c>
      <c r="AX276" s="15" t="s">
        <v>85</v>
      </c>
      <c r="AY276" s="170" t="s">
        <v>177</v>
      </c>
    </row>
    <row r="277" spans="2:65" s="1" customFormat="1" ht="24.2" customHeight="1">
      <c r="B277" s="128"/>
      <c r="C277" s="179" t="s">
        <v>771</v>
      </c>
      <c r="D277" s="179" t="s">
        <v>484</v>
      </c>
      <c r="E277" s="180" t="s">
        <v>2259</v>
      </c>
      <c r="F277" s="181" t="s">
        <v>2260</v>
      </c>
      <c r="G277" s="182" t="s">
        <v>332</v>
      </c>
      <c r="H277" s="183">
        <v>119.52</v>
      </c>
      <c r="I277" s="184"/>
      <c r="J277" s="185">
        <f>ROUND(I277*H277,2)</f>
        <v>0</v>
      </c>
      <c r="K277" s="181" t="s">
        <v>184</v>
      </c>
      <c r="L277" s="186"/>
      <c r="M277" s="187" t="s">
        <v>3</v>
      </c>
      <c r="N277" s="188" t="s">
        <v>48</v>
      </c>
      <c r="P277" s="138">
        <f>O277*H277</f>
        <v>0</v>
      </c>
      <c r="Q277" s="138">
        <v>0.03611</v>
      </c>
      <c r="R277" s="138">
        <f>Q277*H277</f>
        <v>4.3158672000000005</v>
      </c>
      <c r="S277" s="138">
        <v>0</v>
      </c>
      <c r="T277" s="139">
        <f>S277*H277</f>
        <v>0</v>
      </c>
      <c r="AR277" s="140" t="s">
        <v>537</v>
      </c>
      <c r="AT277" s="140" t="s">
        <v>484</v>
      </c>
      <c r="AU277" s="140" t="s">
        <v>87</v>
      </c>
      <c r="AY277" s="18" t="s">
        <v>177</v>
      </c>
      <c r="BE277" s="141">
        <f>IF(N277="základní",J277,0)</f>
        <v>0</v>
      </c>
      <c r="BF277" s="141">
        <f>IF(N277="snížená",J277,0)</f>
        <v>0</v>
      </c>
      <c r="BG277" s="141">
        <f>IF(N277="zákl. přenesená",J277,0)</f>
        <v>0</v>
      </c>
      <c r="BH277" s="141">
        <f>IF(N277="sníž. přenesená",J277,0)</f>
        <v>0</v>
      </c>
      <c r="BI277" s="141">
        <f>IF(N277="nulová",J277,0)</f>
        <v>0</v>
      </c>
      <c r="BJ277" s="18" t="s">
        <v>85</v>
      </c>
      <c r="BK277" s="141">
        <f>ROUND(I277*H277,2)</f>
        <v>0</v>
      </c>
      <c r="BL277" s="18" t="s">
        <v>237</v>
      </c>
      <c r="BM277" s="140" t="s">
        <v>2261</v>
      </c>
    </row>
    <row r="278" spans="2:47" s="1" customFormat="1" ht="19.5">
      <c r="B278" s="33"/>
      <c r="D278" s="142" t="s">
        <v>187</v>
      </c>
      <c r="F278" s="143" t="s">
        <v>2260</v>
      </c>
      <c r="I278" s="144"/>
      <c r="L278" s="33"/>
      <c r="M278" s="145"/>
      <c r="T278" s="54"/>
      <c r="AT278" s="18" t="s">
        <v>187</v>
      </c>
      <c r="AU278" s="18" t="s">
        <v>87</v>
      </c>
    </row>
    <row r="279" spans="2:65" s="1" customFormat="1" ht="24.2" customHeight="1">
      <c r="B279" s="128"/>
      <c r="C279" s="129" t="s">
        <v>780</v>
      </c>
      <c r="D279" s="129" t="s">
        <v>180</v>
      </c>
      <c r="E279" s="130" t="s">
        <v>2262</v>
      </c>
      <c r="F279" s="131" t="s">
        <v>2263</v>
      </c>
      <c r="G279" s="132" t="s">
        <v>236</v>
      </c>
      <c r="H279" s="133">
        <v>19</v>
      </c>
      <c r="I279" s="134"/>
      <c r="J279" s="135">
        <f>ROUND(I279*H279,2)</f>
        <v>0</v>
      </c>
      <c r="K279" s="131" t="s">
        <v>184</v>
      </c>
      <c r="L279" s="33"/>
      <c r="M279" s="136" t="s">
        <v>3</v>
      </c>
      <c r="N279" s="137" t="s">
        <v>48</v>
      </c>
      <c r="P279" s="138">
        <f>O279*H279</f>
        <v>0</v>
      </c>
      <c r="Q279" s="138">
        <v>0.0002684875</v>
      </c>
      <c r="R279" s="138">
        <f>Q279*H279</f>
        <v>0.005101262499999999</v>
      </c>
      <c r="S279" s="138">
        <v>0</v>
      </c>
      <c r="T279" s="139">
        <f>S279*H279</f>
        <v>0</v>
      </c>
      <c r="AR279" s="140" t="s">
        <v>237</v>
      </c>
      <c r="AT279" s="140" t="s">
        <v>180</v>
      </c>
      <c r="AU279" s="140" t="s">
        <v>87</v>
      </c>
      <c r="AY279" s="18" t="s">
        <v>177</v>
      </c>
      <c r="BE279" s="141">
        <f>IF(N279="základní",J279,0)</f>
        <v>0</v>
      </c>
      <c r="BF279" s="141">
        <f>IF(N279="snížená",J279,0)</f>
        <v>0</v>
      </c>
      <c r="BG279" s="141">
        <f>IF(N279="zákl. přenesená",J279,0)</f>
        <v>0</v>
      </c>
      <c r="BH279" s="141">
        <f>IF(N279="sníž. přenesená",J279,0)</f>
        <v>0</v>
      </c>
      <c r="BI279" s="141">
        <f>IF(N279="nulová",J279,0)</f>
        <v>0</v>
      </c>
      <c r="BJ279" s="18" t="s">
        <v>85</v>
      </c>
      <c r="BK279" s="141">
        <f>ROUND(I279*H279,2)</f>
        <v>0</v>
      </c>
      <c r="BL279" s="18" t="s">
        <v>237</v>
      </c>
      <c r="BM279" s="140" t="s">
        <v>2264</v>
      </c>
    </row>
    <row r="280" spans="2:47" s="1" customFormat="1" ht="19.5">
      <c r="B280" s="33"/>
      <c r="D280" s="142" t="s">
        <v>187</v>
      </c>
      <c r="F280" s="143" t="s">
        <v>2265</v>
      </c>
      <c r="I280" s="144"/>
      <c r="L280" s="33"/>
      <c r="M280" s="145"/>
      <c r="T280" s="54"/>
      <c r="AT280" s="18" t="s">
        <v>187</v>
      </c>
      <c r="AU280" s="18" t="s">
        <v>87</v>
      </c>
    </row>
    <row r="281" spans="2:47" s="1" customFormat="1" ht="11.25">
      <c r="B281" s="33"/>
      <c r="D281" s="146" t="s">
        <v>189</v>
      </c>
      <c r="F281" s="147" t="s">
        <v>2266</v>
      </c>
      <c r="I281" s="144"/>
      <c r="L281" s="33"/>
      <c r="M281" s="145"/>
      <c r="T281" s="54"/>
      <c r="AT281" s="18" t="s">
        <v>189</v>
      </c>
      <c r="AU281" s="18" t="s">
        <v>87</v>
      </c>
    </row>
    <row r="282" spans="2:47" s="1" customFormat="1" ht="126.75">
      <c r="B282" s="33"/>
      <c r="D282" s="142" t="s">
        <v>191</v>
      </c>
      <c r="F282" s="148" t="s">
        <v>2253</v>
      </c>
      <c r="I282" s="144"/>
      <c r="L282" s="33"/>
      <c r="M282" s="145"/>
      <c r="T282" s="54"/>
      <c r="AT282" s="18" t="s">
        <v>191</v>
      </c>
      <c r="AU282" s="18" t="s">
        <v>87</v>
      </c>
    </row>
    <row r="283" spans="2:51" s="13" customFormat="1" ht="11.25">
      <c r="B283" s="156"/>
      <c r="D283" s="142" t="s">
        <v>193</v>
      </c>
      <c r="E283" s="157" t="s">
        <v>3</v>
      </c>
      <c r="F283" s="158" t="s">
        <v>2267</v>
      </c>
      <c r="H283" s="157" t="s">
        <v>3</v>
      </c>
      <c r="I283" s="159"/>
      <c r="L283" s="156"/>
      <c r="M283" s="160"/>
      <c r="T283" s="161"/>
      <c r="AT283" s="157" t="s">
        <v>193</v>
      </c>
      <c r="AU283" s="157" t="s">
        <v>87</v>
      </c>
      <c r="AV283" s="13" t="s">
        <v>85</v>
      </c>
      <c r="AW283" s="13" t="s">
        <v>36</v>
      </c>
      <c r="AX283" s="13" t="s">
        <v>77</v>
      </c>
      <c r="AY283" s="157" t="s">
        <v>177</v>
      </c>
    </row>
    <row r="284" spans="2:51" s="12" customFormat="1" ht="11.25">
      <c r="B284" s="149"/>
      <c r="D284" s="142" t="s">
        <v>193</v>
      </c>
      <c r="E284" s="150" t="s">
        <v>3</v>
      </c>
      <c r="F284" s="151" t="s">
        <v>248</v>
      </c>
      <c r="H284" s="152">
        <v>8</v>
      </c>
      <c r="I284" s="153"/>
      <c r="L284" s="149"/>
      <c r="M284" s="154"/>
      <c r="T284" s="155"/>
      <c r="AT284" s="150" t="s">
        <v>193</v>
      </c>
      <c r="AU284" s="150" t="s">
        <v>87</v>
      </c>
      <c r="AV284" s="12" t="s">
        <v>87</v>
      </c>
      <c r="AW284" s="12" t="s">
        <v>36</v>
      </c>
      <c r="AX284" s="12" t="s">
        <v>77</v>
      </c>
      <c r="AY284" s="150" t="s">
        <v>177</v>
      </c>
    </row>
    <row r="285" spans="2:51" s="13" customFormat="1" ht="11.25">
      <c r="B285" s="156"/>
      <c r="D285" s="142" t="s">
        <v>193</v>
      </c>
      <c r="E285" s="157" t="s">
        <v>3</v>
      </c>
      <c r="F285" s="158" t="s">
        <v>2268</v>
      </c>
      <c r="H285" s="157" t="s">
        <v>3</v>
      </c>
      <c r="I285" s="159"/>
      <c r="L285" s="156"/>
      <c r="M285" s="160"/>
      <c r="T285" s="161"/>
      <c r="AT285" s="157" t="s">
        <v>193</v>
      </c>
      <c r="AU285" s="157" t="s">
        <v>87</v>
      </c>
      <c r="AV285" s="13" t="s">
        <v>85</v>
      </c>
      <c r="AW285" s="13" t="s">
        <v>36</v>
      </c>
      <c r="AX285" s="13" t="s">
        <v>77</v>
      </c>
      <c r="AY285" s="157" t="s">
        <v>177</v>
      </c>
    </row>
    <row r="286" spans="2:51" s="12" customFormat="1" ht="11.25">
      <c r="B286" s="149"/>
      <c r="D286" s="142" t="s">
        <v>193</v>
      </c>
      <c r="E286" s="150" t="s">
        <v>3</v>
      </c>
      <c r="F286" s="151" t="s">
        <v>2269</v>
      </c>
      <c r="H286" s="152">
        <v>10</v>
      </c>
      <c r="I286" s="153"/>
      <c r="L286" s="149"/>
      <c r="M286" s="154"/>
      <c r="T286" s="155"/>
      <c r="AT286" s="150" t="s">
        <v>193</v>
      </c>
      <c r="AU286" s="150" t="s">
        <v>87</v>
      </c>
      <c r="AV286" s="12" t="s">
        <v>87</v>
      </c>
      <c r="AW286" s="12" t="s">
        <v>36</v>
      </c>
      <c r="AX286" s="12" t="s">
        <v>77</v>
      </c>
      <c r="AY286" s="150" t="s">
        <v>177</v>
      </c>
    </row>
    <row r="287" spans="2:51" s="13" customFormat="1" ht="11.25">
      <c r="B287" s="156"/>
      <c r="D287" s="142" t="s">
        <v>193</v>
      </c>
      <c r="E287" s="157" t="s">
        <v>3</v>
      </c>
      <c r="F287" s="158" t="s">
        <v>1833</v>
      </c>
      <c r="H287" s="157" t="s">
        <v>3</v>
      </c>
      <c r="I287" s="159"/>
      <c r="L287" s="156"/>
      <c r="M287" s="160"/>
      <c r="T287" s="161"/>
      <c r="AT287" s="157" t="s">
        <v>193</v>
      </c>
      <c r="AU287" s="157" t="s">
        <v>87</v>
      </c>
      <c r="AV287" s="13" t="s">
        <v>85</v>
      </c>
      <c r="AW287" s="13" t="s">
        <v>36</v>
      </c>
      <c r="AX287" s="13" t="s">
        <v>77</v>
      </c>
      <c r="AY287" s="157" t="s">
        <v>177</v>
      </c>
    </row>
    <row r="288" spans="2:51" s="12" customFormat="1" ht="11.25">
      <c r="B288" s="149"/>
      <c r="D288" s="142" t="s">
        <v>193</v>
      </c>
      <c r="E288" s="150" t="s">
        <v>3</v>
      </c>
      <c r="F288" s="151" t="s">
        <v>85</v>
      </c>
      <c r="H288" s="152">
        <v>1</v>
      </c>
      <c r="I288" s="153"/>
      <c r="L288" s="149"/>
      <c r="M288" s="154"/>
      <c r="T288" s="155"/>
      <c r="AT288" s="150" t="s">
        <v>193</v>
      </c>
      <c r="AU288" s="150" t="s">
        <v>87</v>
      </c>
      <c r="AV288" s="12" t="s">
        <v>87</v>
      </c>
      <c r="AW288" s="12" t="s">
        <v>36</v>
      </c>
      <c r="AX288" s="12" t="s">
        <v>77</v>
      </c>
      <c r="AY288" s="150" t="s">
        <v>177</v>
      </c>
    </row>
    <row r="289" spans="2:51" s="15" customFormat="1" ht="11.25">
      <c r="B289" s="169"/>
      <c r="D289" s="142" t="s">
        <v>193</v>
      </c>
      <c r="E289" s="170" t="s">
        <v>3</v>
      </c>
      <c r="F289" s="171" t="s">
        <v>201</v>
      </c>
      <c r="H289" s="172">
        <v>19</v>
      </c>
      <c r="I289" s="173"/>
      <c r="L289" s="169"/>
      <c r="M289" s="174"/>
      <c r="T289" s="175"/>
      <c r="AT289" s="170" t="s">
        <v>193</v>
      </c>
      <c r="AU289" s="170" t="s">
        <v>87</v>
      </c>
      <c r="AV289" s="15" t="s">
        <v>185</v>
      </c>
      <c r="AW289" s="15" t="s">
        <v>36</v>
      </c>
      <c r="AX289" s="15" t="s">
        <v>85</v>
      </c>
      <c r="AY289" s="170" t="s">
        <v>177</v>
      </c>
    </row>
    <row r="290" spans="2:65" s="1" customFormat="1" ht="21.75" customHeight="1">
      <c r="B290" s="128"/>
      <c r="C290" s="179" t="s">
        <v>786</v>
      </c>
      <c r="D290" s="179" t="s">
        <v>484</v>
      </c>
      <c r="E290" s="180" t="s">
        <v>2270</v>
      </c>
      <c r="F290" s="181" t="s">
        <v>2271</v>
      </c>
      <c r="G290" s="182" t="s">
        <v>332</v>
      </c>
      <c r="H290" s="183">
        <v>6.97</v>
      </c>
      <c r="I290" s="184"/>
      <c r="J290" s="185">
        <f>ROUND(I290*H290,2)</f>
        <v>0</v>
      </c>
      <c r="K290" s="181" t="s">
        <v>244</v>
      </c>
      <c r="L290" s="186"/>
      <c r="M290" s="187" t="s">
        <v>3</v>
      </c>
      <c r="N290" s="188" t="s">
        <v>48</v>
      </c>
      <c r="P290" s="138">
        <f>O290*H290</f>
        <v>0</v>
      </c>
      <c r="Q290" s="138">
        <v>0.02403</v>
      </c>
      <c r="R290" s="138">
        <f>Q290*H290</f>
        <v>0.1674891</v>
      </c>
      <c r="S290" s="138">
        <v>0</v>
      </c>
      <c r="T290" s="139">
        <f>S290*H290</f>
        <v>0</v>
      </c>
      <c r="AR290" s="140" t="s">
        <v>537</v>
      </c>
      <c r="AT290" s="140" t="s">
        <v>484</v>
      </c>
      <c r="AU290" s="140" t="s">
        <v>87</v>
      </c>
      <c r="AY290" s="18" t="s">
        <v>177</v>
      </c>
      <c r="BE290" s="141">
        <f>IF(N290="základní",J290,0)</f>
        <v>0</v>
      </c>
      <c r="BF290" s="141">
        <f>IF(N290="snížená",J290,0)</f>
        <v>0</v>
      </c>
      <c r="BG290" s="141">
        <f>IF(N290="zákl. přenesená",J290,0)</f>
        <v>0</v>
      </c>
      <c r="BH290" s="141">
        <f>IF(N290="sníž. přenesená",J290,0)</f>
        <v>0</v>
      </c>
      <c r="BI290" s="141">
        <f>IF(N290="nulová",J290,0)</f>
        <v>0</v>
      </c>
      <c r="BJ290" s="18" t="s">
        <v>85</v>
      </c>
      <c r="BK290" s="141">
        <f>ROUND(I290*H290,2)</f>
        <v>0</v>
      </c>
      <c r="BL290" s="18" t="s">
        <v>237</v>
      </c>
      <c r="BM290" s="140" t="s">
        <v>2272</v>
      </c>
    </row>
    <row r="291" spans="2:47" s="1" customFormat="1" ht="11.25">
      <c r="B291" s="33"/>
      <c r="D291" s="142" t="s">
        <v>187</v>
      </c>
      <c r="F291" s="143" t="s">
        <v>2271</v>
      </c>
      <c r="I291" s="144"/>
      <c r="L291" s="33"/>
      <c r="M291" s="145"/>
      <c r="T291" s="54"/>
      <c r="AT291" s="18" t="s">
        <v>187</v>
      </c>
      <c r="AU291" s="18" t="s">
        <v>87</v>
      </c>
    </row>
    <row r="292" spans="2:51" s="13" customFormat="1" ht="11.25">
      <c r="B292" s="156"/>
      <c r="D292" s="142" t="s">
        <v>193</v>
      </c>
      <c r="E292" s="157" t="s">
        <v>3</v>
      </c>
      <c r="F292" s="158" t="s">
        <v>2268</v>
      </c>
      <c r="H292" s="157" t="s">
        <v>3</v>
      </c>
      <c r="I292" s="159"/>
      <c r="L292" s="156"/>
      <c r="M292" s="160"/>
      <c r="T292" s="161"/>
      <c r="AT292" s="157" t="s">
        <v>193</v>
      </c>
      <c r="AU292" s="157" t="s">
        <v>87</v>
      </c>
      <c r="AV292" s="13" t="s">
        <v>85</v>
      </c>
      <c r="AW292" s="13" t="s">
        <v>36</v>
      </c>
      <c r="AX292" s="13" t="s">
        <v>77</v>
      </c>
      <c r="AY292" s="157" t="s">
        <v>177</v>
      </c>
    </row>
    <row r="293" spans="2:51" s="12" customFormat="1" ht="11.25">
      <c r="B293" s="149"/>
      <c r="D293" s="142" t="s">
        <v>193</v>
      </c>
      <c r="E293" s="150" t="s">
        <v>3</v>
      </c>
      <c r="F293" s="151" t="s">
        <v>2273</v>
      </c>
      <c r="H293" s="152">
        <v>6.25</v>
      </c>
      <c r="I293" s="153"/>
      <c r="L293" s="149"/>
      <c r="M293" s="154"/>
      <c r="T293" s="155"/>
      <c r="AT293" s="150" t="s">
        <v>193</v>
      </c>
      <c r="AU293" s="150" t="s">
        <v>87</v>
      </c>
      <c r="AV293" s="12" t="s">
        <v>87</v>
      </c>
      <c r="AW293" s="12" t="s">
        <v>36</v>
      </c>
      <c r="AX293" s="12" t="s">
        <v>77</v>
      </c>
      <c r="AY293" s="150" t="s">
        <v>177</v>
      </c>
    </row>
    <row r="294" spans="2:51" s="13" customFormat="1" ht="11.25">
      <c r="B294" s="156"/>
      <c r="D294" s="142" t="s">
        <v>193</v>
      </c>
      <c r="E294" s="157" t="s">
        <v>3</v>
      </c>
      <c r="F294" s="158" t="s">
        <v>1833</v>
      </c>
      <c r="H294" s="157" t="s">
        <v>3</v>
      </c>
      <c r="I294" s="159"/>
      <c r="L294" s="156"/>
      <c r="M294" s="160"/>
      <c r="T294" s="161"/>
      <c r="AT294" s="157" t="s">
        <v>193</v>
      </c>
      <c r="AU294" s="157" t="s">
        <v>87</v>
      </c>
      <c r="AV294" s="13" t="s">
        <v>85</v>
      </c>
      <c r="AW294" s="13" t="s">
        <v>36</v>
      </c>
      <c r="AX294" s="13" t="s">
        <v>77</v>
      </c>
      <c r="AY294" s="157" t="s">
        <v>177</v>
      </c>
    </row>
    <row r="295" spans="2:51" s="12" customFormat="1" ht="11.25">
      <c r="B295" s="149"/>
      <c r="D295" s="142" t="s">
        <v>193</v>
      </c>
      <c r="E295" s="150" t="s">
        <v>3</v>
      </c>
      <c r="F295" s="151" t="s">
        <v>1834</v>
      </c>
      <c r="H295" s="152">
        <v>0.72</v>
      </c>
      <c r="I295" s="153"/>
      <c r="L295" s="149"/>
      <c r="M295" s="154"/>
      <c r="T295" s="155"/>
      <c r="AT295" s="150" t="s">
        <v>193</v>
      </c>
      <c r="AU295" s="150" t="s">
        <v>87</v>
      </c>
      <c r="AV295" s="12" t="s">
        <v>87</v>
      </c>
      <c r="AW295" s="12" t="s">
        <v>36</v>
      </c>
      <c r="AX295" s="12" t="s">
        <v>77</v>
      </c>
      <c r="AY295" s="150" t="s">
        <v>177</v>
      </c>
    </row>
    <row r="296" spans="2:51" s="15" customFormat="1" ht="11.25">
      <c r="B296" s="169"/>
      <c r="D296" s="142" t="s">
        <v>193</v>
      </c>
      <c r="E296" s="170" t="s">
        <v>3</v>
      </c>
      <c r="F296" s="171" t="s">
        <v>201</v>
      </c>
      <c r="H296" s="172">
        <v>6.97</v>
      </c>
      <c r="I296" s="173"/>
      <c r="L296" s="169"/>
      <c r="M296" s="174"/>
      <c r="T296" s="175"/>
      <c r="AT296" s="170" t="s">
        <v>193</v>
      </c>
      <c r="AU296" s="170" t="s">
        <v>87</v>
      </c>
      <c r="AV296" s="15" t="s">
        <v>185</v>
      </c>
      <c r="AW296" s="15" t="s">
        <v>36</v>
      </c>
      <c r="AX296" s="15" t="s">
        <v>85</v>
      </c>
      <c r="AY296" s="170" t="s">
        <v>177</v>
      </c>
    </row>
    <row r="297" spans="2:65" s="1" customFormat="1" ht="24.2" customHeight="1">
      <c r="B297" s="128"/>
      <c r="C297" s="129" t="s">
        <v>793</v>
      </c>
      <c r="D297" s="129" t="s">
        <v>180</v>
      </c>
      <c r="E297" s="130" t="s">
        <v>2274</v>
      </c>
      <c r="F297" s="131" t="s">
        <v>2275</v>
      </c>
      <c r="G297" s="132" t="s">
        <v>236</v>
      </c>
      <c r="H297" s="133">
        <v>1</v>
      </c>
      <c r="I297" s="134"/>
      <c r="J297" s="135">
        <f>ROUND(I297*H297,2)</f>
        <v>0</v>
      </c>
      <c r="K297" s="131" t="s">
        <v>184</v>
      </c>
      <c r="L297" s="33"/>
      <c r="M297" s="136" t="s">
        <v>3</v>
      </c>
      <c r="N297" s="137" t="s">
        <v>48</v>
      </c>
      <c r="P297" s="138">
        <f>O297*H297</f>
        <v>0</v>
      </c>
      <c r="Q297" s="138">
        <v>0.0009179</v>
      </c>
      <c r="R297" s="138">
        <f>Q297*H297</f>
        <v>0.0009179</v>
      </c>
      <c r="S297" s="138">
        <v>0</v>
      </c>
      <c r="T297" s="139">
        <f>S297*H297</f>
        <v>0</v>
      </c>
      <c r="AR297" s="140" t="s">
        <v>237</v>
      </c>
      <c r="AT297" s="140" t="s">
        <v>180</v>
      </c>
      <c r="AU297" s="140" t="s">
        <v>87</v>
      </c>
      <c r="AY297" s="18" t="s">
        <v>177</v>
      </c>
      <c r="BE297" s="141">
        <f>IF(N297="základní",J297,0)</f>
        <v>0</v>
      </c>
      <c r="BF297" s="141">
        <f>IF(N297="snížená",J297,0)</f>
        <v>0</v>
      </c>
      <c r="BG297" s="141">
        <f>IF(N297="zákl. přenesená",J297,0)</f>
        <v>0</v>
      </c>
      <c r="BH297" s="141">
        <f>IF(N297="sníž. přenesená",J297,0)</f>
        <v>0</v>
      </c>
      <c r="BI297" s="141">
        <f>IF(N297="nulová",J297,0)</f>
        <v>0</v>
      </c>
      <c r="BJ297" s="18" t="s">
        <v>85</v>
      </c>
      <c r="BK297" s="141">
        <f>ROUND(I297*H297,2)</f>
        <v>0</v>
      </c>
      <c r="BL297" s="18" t="s">
        <v>237</v>
      </c>
      <c r="BM297" s="140" t="s">
        <v>2276</v>
      </c>
    </row>
    <row r="298" spans="2:47" s="1" customFormat="1" ht="19.5">
      <c r="B298" s="33"/>
      <c r="D298" s="142" t="s">
        <v>187</v>
      </c>
      <c r="F298" s="143" t="s">
        <v>2277</v>
      </c>
      <c r="I298" s="144"/>
      <c r="L298" s="33"/>
      <c r="M298" s="145"/>
      <c r="T298" s="54"/>
      <c r="AT298" s="18" t="s">
        <v>187</v>
      </c>
      <c r="AU298" s="18" t="s">
        <v>87</v>
      </c>
    </row>
    <row r="299" spans="2:47" s="1" customFormat="1" ht="11.25">
      <c r="B299" s="33"/>
      <c r="D299" s="146" t="s">
        <v>189</v>
      </c>
      <c r="F299" s="147" t="s">
        <v>2278</v>
      </c>
      <c r="I299" s="144"/>
      <c r="L299" s="33"/>
      <c r="M299" s="145"/>
      <c r="T299" s="54"/>
      <c r="AT299" s="18" t="s">
        <v>189</v>
      </c>
      <c r="AU299" s="18" t="s">
        <v>87</v>
      </c>
    </row>
    <row r="300" spans="2:47" s="1" customFormat="1" ht="136.5">
      <c r="B300" s="33"/>
      <c r="D300" s="142" t="s">
        <v>191</v>
      </c>
      <c r="F300" s="148" t="s">
        <v>2279</v>
      </c>
      <c r="I300" s="144"/>
      <c r="L300" s="33"/>
      <c r="M300" s="145"/>
      <c r="T300" s="54"/>
      <c r="AT300" s="18" t="s">
        <v>191</v>
      </c>
      <c r="AU300" s="18" t="s">
        <v>87</v>
      </c>
    </row>
    <row r="301" spans="2:65" s="1" customFormat="1" ht="24.2" customHeight="1">
      <c r="B301" s="128"/>
      <c r="C301" s="179" t="s">
        <v>799</v>
      </c>
      <c r="D301" s="179" t="s">
        <v>484</v>
      </c>
      <c r="E301" s="180" t="s">
        <v>2280</v>
      </c>
      <c r="F301" s="181" t="s">
        <v>2281</v>
      </c>
      <c r="G301" s="182" t="s">
        <v>332</v>
      </c>
      <c r="H301" s="183">
        <v>2.31</v>
      </c>
      <c r="I301" s="184"/>
      <c r="J301" s="185">
        <f>ROUND(I301*H301,2)</f>
        <v>0</v>
      </c>
      <c r="K301" s="181" t="s">
        <v>184</v>
      </c>
      <c r="L301" s="186"/>
      <c r="M301" s="187" t="s">
        <v>3</v>
      </c>
      <c r="N301" s="188" t="s">
        <v>48</v>
      </c>
      <c r="P301" s="138">
        <f>O301*H301</f>
        <v>0</v>
      </c>
      <c r="Q301" s="138">
        <v>0.02423</v>
      </c>
      <c r="R301" s="138">
        <f>Q301*H301</f>
        <v>0.0559713</v>
      </c>
      <c r="S301" s="138">
        <v>0</v>
      </c>
      <c r="T301" s="139">
        <f>S301*H301</f>
        <v>0</v>
      </c>
      <c r="AR301" s="140" t="s">
        <v>537</v>
      </c>
      <c r="AT301" s="140" t="s">
        <v>484</v>
      </c>
      <c r="AU301" s="140" t="s">
        <v>87</v>
      </c>
      <c r="AY301" s="18" t="s">
        <v>177</v>
      </c>
      <c r="BE301" s="141">
        <f>IF(N301="základní",J301,0)</f>
        <v>0</v>
      </c>
      <c r="BF301" s="141">
        <f>IF(N301="snížená",J301,0)</f>
        <v>0</v>
      </c>
      <c r="BG301" s="141">
        <f>IF(N301="zákl. přenesená",J301,0)</f>
        <v>0</v>
      </c>
      <c r="BH301" s="141">
        <f>IF(N301="sníž. přenesená",J301,0)</f>
        <v>0</v>
      </c>
      <c r="BI301" s="141">
        <f>IF(N301="nulová",J301,0)</f>
        <v>0</v>
      </c>
      <c r="BJ301" s="18" t="s">
        <v>85</v>
      </c>
      <c r="BK301" s="141">
        <f>ROUND(I301*H301,2)</f>
        <v>0</v>
      </c>
      <c r="BL301" s="18" t="s">
        <v>237</v>
      </c>
      <c r="BM301" s="140" t="s">
        <v>2282</v>
      </c>
    </row>
    <row r="302" spans="2:47" s="1" customFormat="1" ht="19.5">
      <c r="B302" s="33"/>
      <c r="D302" s="142" t="s">
        <v>187</v>
      </c>
      <c r="F302" s="143" t="s">
        <v>2281</v>
      </c>
      <c r="I302" s="144"/>
      <c r="L302" s="33"/>
      <c r="M302" s="145"/>
      <c r="T302" s="54"/>
      <c r="AT302" s="18" t="s">
        <v>187</v>
      </c>
      <c r="AU302" s="18" t="s">
        <v>87</v>
      </c>
    </row>
    <row r="303" spans="2:51" s="12" customFormat="1" ht="11.25">
      <c r="B303" s="149"/>
      <c r="D303" s="142" t="s">
        <v>193</v>
      </c>
      <c r="E303" s="150" t="s">
        <v>3</v>
      </c>
      <c r="F303" s="151" t="s">
        <v>1084</v>
      </c>
      <c r="H303" s="152">
        <v>2.31</v>
      </c>
      <c r="I303" s="153"/>
      <c r="L303" s="149"/>
      <c r="M303" s="154"/>
      <c r="T303" s="155"/>
      <c r="AT303" s="150" t="s">
        <v>193</v>
      </c>
      <c r="AU303" s="150" t="s">
        <v>87</v>
      </c>
      <c r="AV303" s="12" t="s">
        <v>87</v>
      </c>
      <c r="AW303" s="12" t="s">
        <v>36</v>
      </c>
      <c r="AX303" s="12" t="s">
        <v>85</v>
      </c>
      <c r="AY303" s="150" t="s">
        <v>177</v>
      </c>
    </row>
    <row r="304" spans="2:65" s="1" customFormat="1" ht="24.2" customHeight="1">
      <c r="B304" s="128"/>
      <c r="C304" s="129" t="s">
        <v>1115</v>
      </c>
      <c r="D304" s="129" t="s">
        <v>180</v>
      </c>
      <c r="E304" s="130" t="s">
        <v>2283</v>
      </c>
      <c r="F304" s="131" t="s">
        <v>2284</v>
      </c>
      <c r="G304" s="132" t="s">
        <v>236</v>
      </c>
      <c r="H304" s="133">
        <v>1</v>
      </c>
      <c r="I304" s="134"/>
      <c r="J304" s="135">
        <f>ROUND(I304*H304,2)</f>
        <v>0</v>
      </c>
      <c r="K304" s="131" t="s">
        <v>184</v>
      </c>
      <c r="L304" s="33"/>
      <c r="M304" s="136" t="s">
        <v>3</v>
      </c>
      <c r="N304" s="137" t="s">
        <v>48</v>
      </c>
      <c r="P304" s="138">
        <f>O304*H304</f>
        <v>0</v>
      </c>
      <c r="Q304" s="138">
        <v>0.00088475</v>
      </c>
      <c r="R304" s="138">
        <f>Q304*H304</f>
        <v>0.00088475</v>
      </c>
      <c r="S304" s="138">
        <v>0</v>
      </c>
      <c r="T304" s="139">
        <f>S304*H304</f>
        <v>0</v>
      </c>
      <c r="AR304" s="140" t="s">
        <v>237</v>
      </c>
      <c r="AT304" s="140" t="s">
        <v>180</v>
      </c>
      <c r="AU304" s="140" t="s">
        <v>87</v>
      </c>
      <c r="AY304" s="18" t="s">
        <v>177</v>
      </c>
      <c r="BE304" s="141">
        <f>IF(N304="základní",J304,0)</f>
        <v>0</v>
      </c>
      <c r="BF304" s="141">
        <f>IF(N304="snížená",J304,0)</f>
        <v>0</v>
      </c>
      <c r="BG304" s="141">
        <f>IF(N304="zákl. přenesená",J304,0)</f>
        <v>0</v>
      </c>
      <c r="BH304" s="141">
        <f>IF(N304="sníž. přenesená",J304,0)</f>
        <v>0</v>
      </c>
      <c r="BI304" s="141">
        <f>IF(N304="nulová",J304,0)</f>
        <v>0</v>
      </c>
      <c r="BJ304" s="18" t="s">
        <v>85</v>
      </c>
      <c r="BK304" s="141">
        <f>ROUND(I304*H304,2)</f>
        <v>0</v>
      </c>
      <c r="BL304" s="18" t="s">
        <v>237</v>
      </c>
      <c r="BM304" s="140" t="s">
        <v>2285</v>
      </c>
    </row>
    <row r="305" spans="2:47" s="1" customFormat="1" ht="19.5">
      <c r="B305" s="33"/>
      <c r="D305" s="142" t="s">
        <v>187</v>
      </c>
      <c r="F305" s="143" t="s">
        <v>2286</v>
      </c>
      <c r="I305" s="144"/>
      <c r="L305" s="33"/>
      <c r="M305" s="145"/>
      <c r="T305" s="54"/>
      <c r="AT305" s="18" t="s">
        <v>187</v>
      </c>
      <c r="AU305" s="18" t="s">
        <v>87</v>
      </c>
    </row>
    <row r="306" spans="2:47" s="1" customFormat="1" ht="11.25">
      <c r="B306" s="33"/>
      <c r="D306" s="146" t="s">
        <v>189</v>
      </c>
      <c r="F306" s="147" t="s">
        <v>2287</v>
      </c>
      <c r="I306" s="144"/>
      <c r="L306" s="33"/>
      <c r="M306" s="145"/>
      <c r="T306" s="54"/>
      <c r="AT306" s="18" t="s">
        <v>189</v>
      </c>
      <c r="AU306" s="18" t="s">
        <v>87</v>
      </c>
    </row>
    <row r="307" spans="2:47" s="1" customFormat="1" ht="136.5">
      <c r="B307" s="33"/>
      <c r="D307" s="142" t="s">
        <v>191</v>
      </c>
      <c r="F307" s="148" t="s">
        <v>2279</v>
      </c>
      <c r="I307" s="144"/>
      <c r="L307" s="33"/>
      <c r="M307" s="145"/>
      <c r="T307" s="54"/>
      <c r="AT307" s="18" t="s">
        <v>191</v>
      </c>
      <c r="AU307" s="18" t="s">
        <v>87</v>
      </c>
    </row>
    <row r="308" spans="2:51" s="13" customFormat="1" ht="11.25">
      <c r="B308" s="156"/>
      <c r="D308" s="142" t="s">
        <v>193</v>
      </c>
      <c r="E308" s="157" t="s">
        <v>3</v>
      </c>
      <c r="F308" s="158" t="s">
        <v>2288</v>
      </c>
      <c r="H308" s="157" t="s">
        <v>3</v>
      </c>
      <c r="I308" s="159"/>
      <c r="L308" s="156"/>
      <c r="M308" s="160"/>
      <c r="T308" s="161"/>
      <c r="AT308" s="157" t="s">
        <v>193</v>
      </c>
      <c r="AU308" s="157" t="s">
        <v>87</v>
      </c>
      <c r="AV308" s="13" t="s">
        <v>85</v>
      </c>
      <c r="AW308" s="13" t="s">
        <v>36</v>
      </c>
      <c r="AX308" s="13" t="s">
        <v>77</v>
      </c>
      <c r="AY308" s="157" t="s">
        <v>177</v>
      </c>
    </row>
    <row r="309" spans="2:51" s="12" customFormat="1" ht="11.25">
      <c r="B309" s="149"/>
      <c r="D309" s="142" t="s">
        <v>193</v>
      </c>
      <c r="E309" s="150" t="s">
        <v>3</v>
      </c>
      <c r="F309" s="151" t="s">
        <v>85</v>
      </c>
      <c r="H309" s="152">
        <v>1</v>
      </c>
      <c r="I309" s="153"/>
      <c r="L309" s="149"/>
      <c r="M309" s="154"/>
      <c r="T309" s="155"/>
      <c r="AT309" s="150" t="s">
        <v>193</v>
      </c>
      <c r="AU309" s="150" t="s">
        <v>87</v>
      </c>
      <c r="AV309" s="12" t="s">
        <v>87</v>
      </c>
      <c r="AW309" s="12" t="s">
        <v>36</v>
      </c>
      <c r="AX309" s="12" t="s">
        <v>85</v>
      </c>
      <c r="AY309" s="150" t="s">
        <v>177</v>
      </c>
    </row>
    <row r="310" spans="2:65" s="1" customFormat="1" ht="24.2" customHeight="1">
      <c r="B310" s="128"/>
      <c r="C310" s="129" t="s">
        <v>1117</v>
      </c>
      <c r="D310" s="129" t="s">
        <v>180</v>
      </c>
      <c r="E310" s="130" t="s">
        <v>2289</v>
      </c>
      <c r="F310" s="131" t="s">
        <v>2290</v>
      </c>
      <c r="G310" s="132" t="s">
        <v>183</v>
      </c>
      <c r="H310" s="133">
        <v>4.577</v>
      </c>
      <c r="I310" s="134"/>
      <c r="J310" s="135">
        <f>ROUND(I310*H310,2)</f>
        <v>0</v>
      </c>
      <c r="K310" s="131" t="s">
        <v>184</v>
      </c>
      <c r="L310" s="33"/>
      <c r="M310" s="136" t="s">
        <v>3</v>
      </c>
      <c r="N310" s="137" t="s">
        <v>48</v>
      </c>
      <c r="P310" s="138">
        <f>O310*H310</f>
        <v>0</v>
      </c>
      <c r="Q310" s="138">
        <v>0</v>
      </c>
      <c r="R310" s="138">
        <f>Q310*H310</f>
        <v>0</v>
      </c>
      <c r="S310" s="138">
        <v>0</v>
      </c>
      <c r="T310" s="139">
        <f>S310*H310</f>
        <v>0</v>
      </c>
      <c r="AR310" s="140" t="s">
        <v>237</v>
      </c>
      <c r="AT310" s="140" t="s">
        <v>180</v>
      </c>
      <c r="AU310" s="140" t="s">
        <v>87</v>
      </c>
      <c r="AY310" s="18" t="s">
        <v>177</v>
      </c>
      <c r="BE310" s="141">
        <f>IF(N310="základní",J310,0)</f>
        <v>0</v>
      </c>
      <c r="BF310" s="141">
        <f>IF(N310="snížená",J310,0)</f>
        <v>0</v>
      </c>
      <c r="BG310" s="141">
        <f>IF(N310="zákl. přenesená",J310,0)</f>
        <v>0</v>
      </c>
      <c r="BH310" s="141">
        <f>IF(N310="sníž. přenesená",J310,0)</f>
        <v>0</v>
      </c>
      <c r="BI310" s="141">
        <f>IF(N310="nulová",J310,0)</f>
        <v>0</v>
      </c>
      <c r="BJ310" s="18" t="s">
        <v>85</v>
      </c>
      <c r="BK310" s="141">
        <f>ROUND(I310*H310,2)</f>
        <v>0</v>
      </c>
      <c r="BL310" s="18" t="s">
        <v>237</v>
      </c>
      <c r="BM310" s="140" t="s">
        <v>2291</v>
      </c>
    </row>
    <row r="311" spans="2:47" s="1" customFormat="1" ht="29.25">
      <c r="B311" s="33"/>
      <c r="D311" s="142" t="s">
        <v>187</v>
      </c>
      <c r="F311" s="143" t="s">
        <v>2292</v>
      </c>
      <c r="I311" s="144"/>
      <c r="L311" s="33"/>
      <c r="M311" s="145"/>
      <c r="T311" s="54"/>
      <c r="AT311" s="18" t="s">
        <v>187</v>
      </c>
      <c r="AU311" s="18" t="s">
        <v>87</v>
      </c>
    </row>
    <row r="312" spans="2:47" s="1" customFormat="1" ht="11.25">
      <c r="B312" s="33"/>
      <c r="D312" s="146" t="s">
        <v>189</v>
      </c>
      <c r="F312" s="147" t="s">
        <v>2293</v>
      </c>
      <c r="I312" s="144"/>
      <c r="L312" s="33"/>
      <c r="M312" s="145"/>
      <c r="T312" s="54"/>
      <c r="AT312" s="18" t="s">
        <v>189</v>
      </c>
      <c r="AU312" s="18" t="s">
        <v>87</v>
      </c>
    </row>
    <row r="313" spans="2:47" s="1" customFormat="1" ht="126.75">
      <c r="B313" s="33"/>
      <c r="D313" s="142" t="s">
        <v>191</v>
      </c>
      <c r="F313" s="148" t="s">
        <v>2294</v>
      </c>
      <c r="I313" s="144"/>
      <c r="L313" s="33"/>
      <c r="M313" s="145"/>
      <c r="T313" s="54"/>
      <c r="AT313" s="18" t="s">
        <v>191</v>
      </c>
      <c r="AU313" s="18" t="s">
        <v>87</v>
      </c>
    </row>
    <row r="314" spans="2:65" s="1" customFormat="1" ht="24.2" customHeight="1">
      <c r="B314" s="128"/>
      <c r="C314" s="129" t="s">
        <v>1124</v>
      </c>
      <c r="D314" s="129" t="s">
        <v>180</v>
      </c>
      <c r="E314" s="130" t="s">
        <v>2295</v>
      </c>
      <c r="F314" s="131" t="s">
        <v>2296</v>
      </c>
      <c r="G314" s="132" t="s">
        <v>183</v>
      </c>
      <c r="H314" s="133">
        <v>4.577</v>
      </c>
      <c r="I314" s="134"/>
      <c r="J314" s="135">
        <f>ROUND(I314*H314,2)</f>
        <v>0</v>
      </c>
      <c r="K314" s="131" t="s">
        <v>184</v>
      </c>
      <c r="L314" s="33"/>
      <c r="M314" s="136" t="s">
        <v>3</v>
      </c>
      <c r="N314" s="137" t="s">
        <v>48</v>
      </c>
      <c r="P314" s="138">
        <f>O314*H314</f>
        <v>0</v>
      </c>
      <c r="Q314" s="138">
        <v>0</v>
      </c>
      <c r="R314" s="138">
        <f>Q314*H314</f>
        <v>0</v>
      </c>
      <c r="S314" s="138">
        <v>0</v>
      </c>
      <c r="T314" s="139">
        <f>S314*H314</f>
        <v>0</v>
      </c>
      <c r="AR314" s="140" t="s">
        <v>237</v>
      </c>
      <c r="AT314" s="140" t="s">
        <v>180</v>
      </c>
      <c r="AU314" s="140" t="s">
        <v>87</v>
      </c>
      <c r="AY314" s="18" t="s">
        <v>177</v>
      </c>
      <c r="BE314" s="141">
        <f>IF(N314="základní",J314,0)</f>
        <v>0</v>
      </c>
      <c r="BF314" s="141">
        <f>IF(N314="snížená",J314,0)</f>
        <v>0</v>
      </c>
      <c r="BG314" s="141">
        <f>IF(N314="zákl. přenesená",J314,0)</f>
        <v>0</v>
      </c>
      <c r="BH314" s="141">
        <f>IF(N314="sníž. přenesená",J314,0)</f>
        <v>0</v>
      </c>
      <c r="BI314" s="141">
        <f>IF(N314="nulová",J314,0)</f>
        <v>0</v>
      </c>
      <c r="BJ314" s="18" t="s">
        <v>85</v>
      </c>
      <c r="BK314" s="141">
        <f>ROUND(I314*H314,2)</f>
        <v>0</v>
      </c>
      <c r="BL314" s="18" t="s">
        <v>237</v>
      </c>
      <c r="BM314" s="140" t="s">
        <v>2297</v>
      </c>
    </row>
    <row r="315" spans="2:47" s="1" customFormat="1" ht="29.25">
      <c r="B315" s="33"/>
      <c r="D315" s="142" t="s">
        <v>187</v>
      </c>
      <c r="F315" s="143" t="s">
        <v>2298</v>
      </c>
      <c r="I315" s="144"/>
      <c r="L315" s="33"/>
      <c r="M315" s="145"/>
      <c r="T315" s="54"/>
      <c r="AT315" s="18" t="s">
        <v>187</v>
      </c>
      <c r="AU315" s="18" t="s">
        <v>87</v>
      </c>
    </row>
    <row r="316" spans="2:47" s="1" customFormat="1" ht="11.25">
      <c r="B316" s="33"/>
      <c r="D316" s="146" t="s">
        <v>189</v>
      </c>
      <c r="F316" s="147" t="s">
        <v>2299</v>
      </c>
      <c r="I316" s="144"/>
      <c r="L316" s="33"/>
      <c r="M316" s="145"/>
      <c r="T316" s="54"/>
      <c r="AT316" s="18" t="s">
        <v>189</v>
      </c>
      <c r="AU316" s="18" t="s">
        <v>87</v>
      </c>
    </row>
    <row r="317" spans="2:47" s="1" customFormat="1" ht="126.75">
      <c r="B317" s="33"/>
      <c r="D317" s="142" t="s">
        <v>191</v>
      </c>
      <c r="F317" s="148" t="s">
        <v>2294</v>
      </c>
      <c r="I317" s="144"/>
      <c r="L317" s="33"/>
      <c r="M317" s="145"/>
      <c r="T317" s="54"/>
      <c r="AT317" s="18" t="s">
        <v>191</v>
      </c>
      <c r="AU317" s="18" t="s">
        <v>87</v>
      </c>
    </row>
    <row r="318" spans="2:63" s="11" customFormat="1" ht="25.9" customHeight="1">
      <c r="B318" s="116"/>
      <c r="D318" s="117" t="s">
        <v>76</v>
      </c>
      <c r="E318" s="118" t="s">
        <v>313</v>
      </c>
      <c r="F318" s="118" t="s">
        <v>314</v>
      </c>
      <c r="I318" s="119"/>
      <c r="J318" s="120">
        <f>BK318</f>
        <v>0</v>
      </c>
      <c r="L318" s="116"/>
      <c r="M318" s="121"/>
      <c r="P318" s="122">
        <f>SUM(P319:P321)</f>
        <v>0</v>
      </c>
      <c r="R318" s="122">
        <f>SUM(R319:R321)</f>
        <v>0</v>
      </c>
      <c r="T318" s="123">
        <f>SUM(T319:T321)</f>
        <v>0</v>
      </c>
      <c r="AR318" s="117" t="s">
        <v>185</v>
      </c>
      <c r="AT318" s="124" t="s">
        <v>76</v>
      </c>
      <c r="AU318" s="124" t="s">
        <v>77</v>
      </c>
      <c r="AY318" s="117" t="s">
        <v>177</v>
      </c>
      <c r="BK318" s="125">
        <f>SUM(BK319:BK321)</f>
        <v>0</v>
      </c>
    </row>
    <row r="319" spans="2:65" s="1" customFormat="1" ht="16.5" customHeight="1">
      <c r="B319" s="128"/>
      <c r="C319" s="129" t="s">
        <v>1130</v>
      </c>
      <c r="D319" s="129" t="s">
        <v>180</v>
      </c>
      <c r="E319" s="130" t="s">
        <v>528</v>
      </c>
      <c r="F319" s="131" t="s">
        <v>529</v>
      </c>
      <c r="G319" s="132" t="s">
        <v>305</v>
      </c>
      <c r="H319" s="133">
        <v>100</v>
      </c>
      <c r="I319" s="134"/>
      <c r="J319" s="135">
        <f>ROUND(I319*H319,2)</f>
        <v>0</v>
      </c>
      <c r="K319" s="131" t="s">
        <v>184</v>
      </c>
      <c r="L319" s="33"/>
      <c r="M319" s="136" t="s">
        <v>3</v>
      </c>
      <c r="N319" s="137" t="s">
        <v>48</v>
      </c>
      <c r="P319" s="138">
        <f>O319*H319</f>
        <v>0</v>
      </c>
      <c r="Q319" s="138">
        <v>0</v>
      </c>
      <c r="R319" s="138">
        <f>Q319*H319</f>
        <v>0</v>
      </c>
      <c r="S319" s="138">
        <v>0</v>
      </c>
      <c r="T319" s="139">
        <f>S319*H319</f>
        <v>0</v>
      </c>
      <c r="AR319" s="140" t="s">
        <v>318</v>
      </c>
      <c r="AT319" s="140" t="s">
        <v>180</v>
      </c>
      <c r="AU319" s="140" t="s">
        <v>85</v>
      </c>
      <c r="AY319" s="18" t="s">
        <v>177</v>
      </c>
      <c r="BE319" s="141">
        <f>IF(N319="základní",J319,0)</f>
        <v>0</v>
      </c>
      <c r="BF319" s="141">
        <f>IF(N319="snížená",J319,0)</f>
        <v>0</v>
      </c>
      <c r="BG319" s="141">
        <f>IF(N319="zákl. přenesená",J319,0)</f>
        <v>0</v>
      </c>
      <c r="BH319" s="141">
        <f>IF(N319="sníž. přenesená",J319,0)</f>
        <v>0</v>
      </c>
      <c r="BI319" s="141">
        <f>IF(N319="nulová",J319,0)</f>
        <v>0</v>
      </c>
      <c r="BJ319" s="18" t="s">
        <v>85</v>
      </c>
      <c r="BK319" s="141">
        <f>ROUND(I319*H319,2)</f>
        <v>0</v>
      </c>
      <c r="BL319" s="18" t="s">
        <v>318</v>
      </c>
      <c r="BM319" s="140" t="s">
        <v>2300</v>
      </c>
    </row>
    <row r="320" spans="2:47" s="1" customFormat="1" ht="19.5">
      <c r="B320" s="33"/>
      <c r="D320" s="142" t="s">
        <v>187</v>
      </c>
      <c r="F320" s="143" t="s">
        <v>531</v>
      </c>
      <c r="I320" s="144"/>
      <c r="L320" s="33"/>
      <c r="M320" s="145"/>
      <c r="T320" s="54"/>
      <c r="AT320" s="18" t="s">
        <v>187</v>
      </c>
      <c r="AU320" s="18" t="s">
        <v>85</v>
      </c>
    </row>
    <row r="321" spans="2:47" s="1" customFormat="1" ht="11.25">
      <c r="B321" s="33"/>
      <c r="D321" s="146" t="s">
        <v>189</v>
      </c>
      <c r="F321" s="147" t="s">
        <v>532</v>
      </c>
      <c r="I321" s="144"/>
      <c r="L321" s="33"/>
      <c r="M321" s="189"/>
      <c r="N321" s="190"/>
      <c r="O321" s="190"/>
      <c r="P321" s="190"/>
      <c r="Q321" s="190"/>
      <c r="R321" s="190"/>
      <c r="S321" s="190"/>
      <c r="T321" s="191"/>
      <c r="AT321" s="18" t="s">
        <v>189</v>
      </c>
      <c r="AU321" s="18" t="s">
        <v>85</v>
      </c>
    </row>
    <row r="322" spans="2:12" s="1" customFormat="1" ht="6.95" customHeight="1">
      <c r="B322" s="42"/>
      <c r="C322" s="43"/>
      <c r="D322" s="43"/>
      <c r="E322" s="43"/>
      <c r="F322" s="43"/>
      <c r="G322" s="43"/>
      <c r="H322" s="43"/>
      <c r="I322" s="43"/>
      <c r="J322" s="43"/>
      <c r="K322" s="43"/>
      <c r="L322" s="33"/>
    </row>
  </sheetData>
  <autoFilter ref="C87:K321"/>
  <mergeCells count="9">
    <mergeCell ref="E50:H50"/>
    <mergeCell ref="E78:H78"/>
    <mergeCell ref="E80:H80"/>
    <mergeCell ref="L2:V2"/>
    <mergeCell ref="E7:H7"/>
    <mergeCell ref="E9:H9"/>
    <mergeCell ref="E18:H18"/>
    <mergeCell ref="E27:H27"/>
    <mergeCell ref="E48:H48"/>
  </mergeCells>
  <hyperlinks>
    <hyperlink ref="F93" r:id="rId1" display="https://podminky.urs.cz/item/CS_URS_2022_02/612131101"/>
    <hyperlink ref="F96" r:id="rId2" display="https://podminky.urs.cz/item/CS_URS_2022_02/612131121"/>
    <hyperlink ref="F99" r:id="rId3" display="https://podminky.urs.cz/item/CS_URS_2022_02/612131121"/>
    <hyperlink ref="F103" r:id="rId4" display="https://podminky.urs.cz/item/CS_URS_2022_02/612142001"/>
    <hyperlink ref="F107" r:id="rId5" display="https://podminky.urs.cz/item/CS_URS_2022_02/612321121"/>
    <hyperlink ref="F130" r:id="rId6" display="https://podminky.urs.cz/item/CS_URS_2022_02/612321191"/>
    <hyperlink ref="F135" r:id="rId7" display="https://podminky.urs.cz/item/CS_URS_2022_02/612325111"/>
    <hyperlink ref="F142" r:id="rId8" display="https://podminky.urs.cz/item/CS_URS_2022_02/612381006"/>
    <hyperlink ref="F150" r:id="rId9" display="https://podminky.urs.cz/item/CS_URS_2022_02/613131121"/>
    <hyperlink ref="F157" r:id="rId10" display="https://podminky.urs.cz/item/CS_URS_2022_02/613131121"/>
    <hyperlink ref="F161" r:id="rId11" display="https://podminky.urs.cz/item/CS_URS_2022_02/613142001"/>
    <hyperlink ref="F165" r:id="rId12" display="https://podminky.urs.cz/item/CS_URS_2022_02/613381006"/>
    <hyperlink ref="F168" r:id="rId13" display="https://podminky.urs.cz/item/CS_URS_2022_02/632441223"/>
    <hyperlink ref="F172" r:id="rId14" display="https://podminky.urs.cz/item/CS_URS_2022_02/632441225"/>
    <hyperlink ref="F176" r:id="rId15" display="https://podminky.urs.cz/item/CS_URS_2022_02/632441293"/>
    <hyperlink ref="F181" r:id="rId16" display="https://podminky.urs.cz/item/CS_URS_2022_02/632481213"/>
    <hyperlink ref="F184" r:id="rId17" display="https://podminky.urs.cz/item/CS_URS_2022_02/634112112"/>
    <hyperlink ref="F193" r:id="rId18" display="https://podminky.urs.cz/item/CS_URS_2022_02/949101111"/>
    <hyperlink ref="F200" r:id="rId19" display="https://podminky.urs.cz/item/CS_URS_2022_02/952901111"/>
    <hyperlink ref="F204" r:id="rId20" display="https://podminky.urs.cz/item/CS_URS_2022_02/974031143"/>
    <hyperlink ref="F207" r:id="rId21" display="https://podminky.urs.cz/item/CS_URS_2022_02/974031153"/>
    <hyperlink ref="F210" r:id="rId22" display="https://podminky.urs.cz/item/CS_URS_2022_02/974031164"/>
    <hyperlink ref="F214" r:id="rId23" display="https://podminky.urs.cz/item/CS_URS_2022_02/997013213"/>
    <hyperlink ref="F218" r:id="rId24" display="https://podminky.urs.cz/item/CS_URS_2022_02/997013219"/>
    <hyperlink ref="F223" r:id="rId25" display="https://podminky.urs.cz/item/CS_URS_2022_02/997013501"/>
    <hyperlink ref="F227" r:id="rId26" display="https://podminky.urs.cz/item/CS_URS_2022_02/997013509"/>
    <hyperlink ref="F232" r:id="rId27" display="https://podminky.urs.cz/item/CS_URS_2022_02/997013871"/>
    <hyperlink ref="F237" r:id="rId28" display="https://podminky.urs.cz/item/CS_URS_2022_02/998018002"/>
    <hyperlink ref="F243" r:id="rId29" display="https://podminky.urs.cz/item/CS_URS_2022_02/713121111"/>
    <hyperlink ref="F260" r:id="rId30" display="https://podminky.urs.cz/item/CS_URS_2022_02/998713102"/>
    <hyperlink ref="F264" r:id="rId31" display="https://podminky.urs.cz/item/CS_URS_2022_02/998713181"/>
    <hyperlink ref="F269" r:id="rId32" display="https://podminky.urs.cz/item/CS_URS_2022_02/766622132"/>
    <hyperlink ref="F281" r:id="rId33" display="https://podminky.urs.cz/item/CS_URS_2022_02/766622216"/>
    <hyperlink ref="F299" r:id="rId34" display="https://podminky.urs.cz/item/CS_URS_2022_02/766660411"/>
    <hyperlink ref="F306" r:id="rId35" display="https://podminky.urs.cz/item/CS_URS_2022_02/766660451"/>
    <hyperlink ref="F312" r:id="rId36" display="https://podminky.urs.cz/item/CS_URS_2022_02/998766102"/>
    <hyperlink ref="F316" r:id="rId37" display="https://podminky.urs.cz/item/CS_URS_2022_02/998766181"/>
    <hyperlink ref="F321" r:id="rId38"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89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123</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30" customHeight="1">
      <c r="B9" s="33"/>
      <c r="E9" s="281" t="s">
        <v>2301</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ROUND(J99,2)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ROUND((SUM(BE99:BE891)),2)</f>
        <v>0</v>
      </c>
      <c r="I33" s="90">
        <v>0.21</v>
      </c>
      <c r="J33" s="89">
        <f>ROUND(((SUM(BE99:BE891))*I33),2)</f>
        <v>0</v>
      </c>
      <c r="L33" s="33"/>
    </row>
    <row r="34" spans="2:12" s="1" customFormat="1" ht="14.45" customHeight="1">
      <c r="B34" s="33"/>
      <c r="E34" s="28" t="s">
        <v>49</v>
      </c>
      <c r="F34" s="89">
        <f>ROUND((SUM(BF99:BF891)),2)</f>
        <v>0</v>
      </c>
      <c r="I34" s="90">
        <v>0.15</v>
      </c>
      <c r="J34" s="89">
        <f>ROUND(((SUM(BF99:BF891))*I34),2)</f>
        <v>0</v>
      </c>
      <c r="L34" s="33"/>
    </row>
    <row r="35" spans="2:12" s="1" customFormat="1" ht="14.45" customHeight="1" hidden="1">
      <c r="B35" s="33"/>
      <c r="E35" s="28" t="s">
        <v>50</v>
      </c>
      <c r="F35" s="89">
        <f>ROUND((SUM(BG99:BG891)),2)</f>
        <v>0</v>
      </c>
      <c r="I35" s="90">
        <v>0.21</v>
      </c>
      <c r="J35" s="89">
        <f>0</f>
        <v>0</v>
      </c>
      <c r="L35" s="33"/>
    </row>
    <row r="36" spans="2:12" s="1" customFormat="1" ht="14.45" customHeight="1" hidden="1">
      <c r="B36" s="33"/>
      <c r="E36" s="28" t="s">
        <v>51</v>
      </c>
      <c r="F36" s="89">
        <f>ROUND((SUM(BH99:BH891)),2)</f>
        <v>0</v>
      </c>
      <c r="I36" s="90">
        <v>0.15</v>
      </c>
      <c r="J36" s="89">
        <f>0</f>
        <v>0</v>
      </c>
      <c r="L36" s="33"/>
    </row>
    <row r="37" spans="2:12" s="1" customFormat="1" ht="14.45" customHeight="1" hidden="1">
      <c r="B37" s="33"/>
      <c r="E37" s="28" t="s">
        <v>52</v>
      </c>
      <c r="F37" s="89">
        <f>ROUND((SUM(BI99:BI891)),2)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30" customHeight="1">
      <c r="B50" s="33"/>
      <c r="E50" s="281" t="str">
        <f>E9</f>
        <v>E13 - Oprava a stavební úpravy terasy, KZSí stěn a podhledu+ okap.chodníčky, střešní plášť,venk.schodiště</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J99</f>
        <v>0</v>
      </c>
      <c r="L59" s="33"/>
      <c r="AU59" s="18" t="s">
        <v>152</v>
      </c>
    </row>
    <row r="60" spans="2:12" s="8" customFormat="1" ht="24.95" customHeight="1">
      <c r="B60" s="100"/>
      <c r="D60" s="101" t="s">
        <v>153</v>
      </c>
      <c r="E60" s="102"/>
      <c r="F60" s="102"/>
      <c r="G60" s="102"/>
      <c r="H60" s="102"/>
      <c r="I60" s="102"/>
      <c r="J60" s="103">
        <f>J100</f>
        <v>0</v>
      </c>
      <c r="L60" s="100"/>
    </row>
    <row r="61" spans="2:12" s="9" customFormat="1" ht="19.9" customHeight="1">
      <c r="B61" s="104"/>
      <c r="D61" s="105" t="s">
        <v>2302</v>
      </c>
      <c r="E61" s="106"/>
      <c r="F61" s="106"/>
      <c r="G61" s="106"/>
      <c r="H61" s="106"/>
      <c r="I61" s="106"/>
      <c r="J61" s="107">
        <f>J101</f>
        <v>0</v>
      </c>
      <c r="L61" s="104"/>
    </row>
    <row r="62" spans="2:12" s="9" customFormat="1" ht="19.9" customHeight="1">
      <c r="B62" s="104"/>
      <c r="D62" s="105" t="s">
        <v>544</v>
      </c>
      <c r="E62" s="106"/>
      <c r="F62" s="106"/>
      <c r="G62" s="106"/>
      <c r="H62" s="106"/>
      <c r="I62" s="106"/>
      <c r="J62" s="107">
        <f>J137</f>
        <v>0</v>
      </c>
      <c r="L62" s="104"/>
    </row>
    <row r="63" spans="2:12" s="9" customFormat="1" ht="19.9" customHeight="1">
      <c r="B63" s="104"/>
      <c r="D63" s="105" t="s">
        <v>545</v>
      </c>
      <c r="E63" s="106"/>
      <c r="F63" s="106"/>
      <c r="G63" s="106"/>
      <c r="H63" s="106"/>
      <c r="I63" s="106"/>
      <c r="J63" s="107">
        <f>J148</f>
        <v>0</v>
      </c>
      <c r="L63" s="104"/>
    </row>
    <row r="64" spans="2:12" s="9" customFormat="1" ht="19.9" customHeight="1">
      <c r="B64" s="104"/>
      <c r="D64" s="105" t="s">
        <v>1568</v>
      </c>
      <c r="E64" s="106"/>
      <c r="F64" s="106"/>
      <c r="G64" s="106"/>
      <c r="H64" s="106"/>
      <c r="I64" s="106"/>
      <c r="J64" s="107">
        <f>J154</f>
        <v>0</v>
      </c>
      <c r="L64" s="104"/>
    </row>
    <row r="65" spans="2:12" s="9" customFormat="1" ht="14.85" customHeight="1">
      <c r="B65" s="104"/>
      <c r="D65" s="105" t="s">
        <v>1887</v>
      </c>
      <c r="E65" s="106"/>
      <c r="F65" s="106"/>
      <c r="G65" s="106"/>
      <c r="H65" s="106"/>
      <c r="I65" s="106"/>
      <c r="J65" s="107">
        <f>J155</f>
        <v>0</v>
      </c>
      <c r="L65" s="104"/>
    </row>
    <row r="66" spans="2:12" s="9" customFormat="1" ht="19.9" customHeight="1">
      <c r="B66" s="104"/>
      <c r="D66" s="105" t="s">
        <v>546</v>
      </c>
      <c r="E66" s="106"/>
      <c r="F66" s="106"/>
      <c r="G66" s="106"/>
      <c r="H66" s="106"/>
      <c r="I66" s="106"/>
      <c r="J66" s="107">
        <f>J183</f>
        <v>0</v>
      </c>
      <c r="L66" s="104"/>
    </row>
    <row r="67" spans="2:12" s="9" customFormat="1" ht="19.9" customHeight="1">
      <c r="B67" s="104"/>
      <c r="D67" s="105" t="s">
        <v>325</v>
      </c>
      <c r="E67" s="106"/>
      <c r="F67" s="106"/>
      <c r="G67" s="106"/>
      <c r="H67" s="106"/>
      <c r="I67" s="106"/>
      <c r="J67" s="107">
        <f>J400</f>
        <v>0</v>
      </c>
      <c r="L67" s="104"/>
    </row>
    <row r="68" spans="2:12" s="9" customFormat="1" ht="19.9" customHeight="1">
      <c r="B68" s="104"/>
      <c r="D68" s="105" t="s">
        <v>154</v>
      </c>
      <c r="E68" s="106"/>
      <c r="F68" s="106"/>
      <c r="G68" s="106"/>
      <c r="H68" s="106"/>
      <c r="I68" s="106"/>
      <c r="J68" s="107">
        <f>J541</f>
        <v>0</v>
      </c>
      <c r="L68" s="104"/>
    </row>
    <row r="69" spans="2:12" s="9" customFormat="1" ht="19.9" customHeight="1">
      <c r="B69" s="104"/>
      <c r="D69" s="105" t="s">
        <v>326</v>
      </c>
      <c r="E69" s="106"/>
      <c r="F69" s="106"/>
      <c r="G69" s="106"/>
      <c r="H69" s="106"/>
      <c r="I69" s="106"/>
      <c r="J69" s="107">
        <f>J564</f>
        <v>0</v>
      </c>
      <c r="L69" s="104"/>
    </row>
    <row r="70" spans="2:12" s="8" customFormat="1" ht="24.95" customHeight="1">
      <c r="B70" s="100"/>
      <c r="D70" s="101" t="s">
        <v>155</v>
      </c>
      <c r="E70" s="102"/>
      <c r="F70" s="102"/>
      <c r="G70" s="102"/>
      <c r="H70" s="102"/>
      <c r="I70" s="102"/>
      <c r="J70" s="103">
        <f>J569</f>
        <v>0</v>
      </c>
      <c r="L70" s="100"/>
    </row>
    <row r="71" spans="2:12" s="9" customFormat="1" ht="19.9" customHeight="1">
      <c r="B71" s="104"/>
      <c r="D71" s="105" t="s">
        <v>547</v>
      </c>
      <c r="E71" s="106"/>
      <c r="F71" s="106"/>
      <c r="G71" s="106"/>
      <c r="H71" s="106"/>
      <c r="I71" s="106"/>
      <c r="J71" s="107">
        <f>J570</f>
        <v>0</v>
      </c>
      <c r="L71" s="104"/>
    </row>
    <row r="72" spans="2:12" s="9" customFormat="1" ht="19.9" customHeight="1">
      <c r="B72" s="104"/>
      <c r="D72" s="105" t="s">
        <v>921</v>
      </c>
      <c r="E72" s="106"/>
      <c r="F72" s="106"/>
      <c r="G72" s="106"/>
      <c r="H72" s="106"/>
      <c r="I72" s="106"/>
      <c r="J72" s="107">
        <f>J588</f>
        <v>0</v>
      </c>
      <c r="L72" s="104"/>
    </row>
    <row r="73" spans="2:12" s="9" customFormat="1" ht="19.9" customHeight="1">
      <c r="B73" s="104"/>
      <c r="D73" s="105" t="s">
        <v>548</v>
      </c>
      <c r="E73" s="106"/>
      <c r="F73" s="106"/>
      <c r="G73" s="106"/>
      <c r="H73" s="106"/>
      <c r="I73" s="106"/>
      <c r="J73" s="107">
        <f>J658</f>
        <v>0</v>
      </c>
      <c r="L73" s="104"/>
    </row>
    <row r="74" spans="2:12" s="9" customFormat="1" ht="19.9" customHeight="1">
      <c r="B74" s="104"/>
      <c r="D74" s="105" t="s">
        <v>156</v>
      </c>
      <c r="E74" s="106"/>
      <c r="F74" s="106"/>
      <c r="G74" s="106"/>
      <c r="H74" s="106"/>
      <c r="I74" s="106"/>
      <c r="J74" s="107">
        <f>J702</f>
        <v>0</v>
      </c>
      <c r="L74" s="104"/>
    </row>
    <row r="75" spans="2:12" s="9" customFormat="1" ht="19.9" customHeight="1">
      <c r="B75" s="104"/>
      <c r="D75" s="105" t="s">
        <v>922</v>
      </c>
      <c r="E75" s="106"/>
      <c r="F75" s="106"/>
      <c r="G75" s="106"/>
      <c r="H75" s="106"/>
      <c r="I75" s="106"/>
      <c r="J75" s="107">
        <f>J714</f>
        <v>0</v>
      </c>
      <c r="L75" s="104"/>
    </row>
    <row r="76" spans="2:12" s="9" customFormat="1" ht="19.9" customHeight="1">
      <c r="B76" s="104"/>
      <c r="D76" s="105" t="s">
        <v>923</v>
      </c>
      <c r="E76" s="106"/>
      <c r="F76" s="106"/>
      <c r="G76" s="106"/>
      <c r="H76" s="106"/>
      <c r="I76" s="106"/>
      <c r="J76" s="107">
        <f>J728</f>
        <v>0</v>
      </c>
      <c r="L76" s="104"/>
    </row>
    <row r="77" spans="2:12" s="9" customFormat="1" ht="19.9" customHeight="1">
      <c r="B77" s="104"/>
      <c r="D77" s="105" t="s">
        <v>924</v>
      </c>
      <c r="E77" s="106"/>
      <c r="F77" s="106"/>
      <c r="G77" s="106"/>
      <c r="H77" s="106"/>
      <c r="I77" s="106"/>
      <c r="J77" s="107">
        <f>J762</f>
        <v>0</v>
      </c>
      <c r="L77" s="104"/>
    </row>
    <row r="78" spans="2:12" s="9" customFormat="1" ht="19.9" customHeight="1">
      <c r="B78" s="104"/>
      <c r="D78" s="105" t="s">
        <v>2303</v>
      </c>
      <c r="E78" s="106"/>
      <c r="F78" s="106"/>
      <c r="G78" s="106"/>
      <c r="H78" s="106"/>
      <c r="I78" s="106"/>
      <c r="J78" s="107">
        <f>J818</f>
        <v>0</v>
      </c>
      <c r="L78" s="104"/>
    </row>
    <row r="79" spans="2:12" s="8" customFormat="1" ht="24.95" customHeight="1">
      <c r="B79" s="100"/>
      <c r="D79" s="101" t="s">
        <v>161</v>
      </c>
      <c r="E79" s="102"/>
      <c r="F79" s="102"/>
      <c r="G79" s="102"/>
      <c r="H79" s="102"/>
      <c r="I79" s="102"/>
      <c r="J79" s="103">
        <f>J888</f>
        <v>0</v>
      </c>
      <c r="L79" s="100"/>
    </row>
    <row r="80" spans="2:12" s="1" customFormat="1" ht="21.75" customHeight="1">
      <c r="B80" s="33"/>
      <c r="L80" s="33"/>
    </row>
    <row r="81" spans="2:12" s="1" customFormat="1" ht="6.95" customHeight="1">
      <c r="B81" s="42"/>
      <c r="C81" s="43"/>
      <c r="D81" s="43"/>
      <c r="E81" s="43"/>
      <c r="F81" s="43"/>
      <c r="G81" s="43"/>
      <c r="H81" s="43"/>
      <c r="I81" s="43"/>
      <c r="J81" s="43"/>
      <c r="K81" s="43"/>
      <c r="L81" s="33"/>
    </row>
    <row r="85" spans="2:12" s="1" customFormat="1" ht="6.95" customHeight="1">
      <c r="B85" s="44"/>
      <c r="C85" s="45"/>
      <c r="D85" s="45"/>
      <c r="E85" s="45"/>
      <c r="F85" s="45"/>
      <c r="G85" s="45"/>
      <c r="H85" s="45"/>
      <c r="I85" s="45"/>
      <c r="J85" s="45"/>
      <c r="K85" s="45"/>
      <c r="L85" s="33"/>
    </row>
    <row r="86" spans="2:12" s="1" customFormat="1" ht="24.95" customHeight="1">
      <c r="B86" s="33"/>
      <c r="C86" s="22" t="s">
        <v>162</v>
      </c>
      <c r="L86" s="33"/>
    </row>
    <row r="87" spans="2:12" s="1" customFormat="1" ht="6.95" customHeight="1">
      <c r="B87" s="33"/>
      <c r="L87" s="33"/>
    </row>
    <row r="88" spans="2:12" s="1" customFormat="1" ht="12" customHeight="1">
      <c r="B88" s="33"/>
      <c r="C88" s="28" t="s">
        <v>17</v>
      </c>
      <c r="L88" s="33"/>
    </row>
    <row r="89" spans="2:12" s="1" customFormat="1" ht="16.5" customHeight="1">
      <c r="B89" s="33"/>
      <c r="E89" s="315" t="str">
        <f>E7</f>
        <v>ZŠ P. HOLÉHO - PŘESTAVBA PLAVECKÉHO PAVILONU</v>
      </c>
      <c r="F89" s="316"/>
      <c r="G89" s="316"/>
      <c r="H89" s="316"/>
      <c r="L89" s="33"/>
    </row>
    <row r="90" spans="2:12" s="1" customFormat="1" ht="12" customHeight="1">
      <c r="B90" s="33"/>
      <c r="C90" s="28" t="s">
        <v>146</v>
      </c>
      <c r="L90" s="33"/>
    </row>
    <row r="91" spans="2:12" s="1" customFormat="1" ht="30" customHeight="1">
      <c r="B91" s="33"/>
      <c r="E91" s="281" t="str">
        <f>E9</f>
        <v>E13 - Oprava a stavební úpravy terasy, KZSí stěn a podhledu+ okap.chodníčky, střešní plášť,venk.schodiště</v>
      </c>
      <c r="F91" s="317"/>
      <c r="G91" s="317"/>
      <c r="H91" s="317"/>
      <c r="L91" s="33"/>
    </row>
    <row r="92" spans="2:12" s="1" customFormat="1" ht="6.95" customHeight="1">
      <c r="B92" s="33"/>
      <c r="L92" s="33"/>
    </row>
    <row r="93" spans="2:12" s="1" customFormat="1" ht="12" customHeight="1">
      <c r="B93" s="33"/>
      <c r="C93" s="28" t="s">
        <v>21</v>
      </c>
      <c r="F93" s="26" t="str">
        <f>F12</f>
        <v>Prokopa Holého 2632, Louny, 440 01</v>
      </c>
      <c r="I93" s="28" t="s">
        <v>23</v>
      </c>
      <c r="J93" s="50" t="str">
        <f>IF(J12="","",J12)</f>
        <v>21. 9. 2022</v>
      </c>
      <c r="L93" s="33"/>
    </row>
    <row r="94" spans="2:12" s="1" customFormat="1" ht="6.95" customHeight="1">
      <c r="B94" s="33"/>
      <c r="L94" s="33"/>
    </row>
    <row r="95" spans="2:12" s="1" customFormat="1" ht="15.2" customHeight="1">
      <c r="B95" s="33"/>
      <c r="C95" s="28" t="s">
        <v>25</v>
      </c>
      <c r="F95" s="26" t="str">
        <f>E15</f>
        <v>Město Louny</v>
      </c>
      <c r="I95" s="28" t="s">
        <v>32</v>
      </c>
      <c r="J95" s="31" t="str">
        <f>E21</f>
        <v>RYSIK Design s.r.o.</v>
      </c>
      <c r="L95" s="33"/>
    </row>
    <row r="96" spans="2:12" s="1" customFormat="1" ht="25.7" customHeight="1">
      <c r="B96" s="33"/>
      <c r="C96" s="28" t="s">
        <v>30</v>
      </c>
      <c r="F96" s="26" t="str">
        <f>IF(E18="","",E18)</f>
        <v>Vyplň údaj</v>
      </c>
      <c r="I96" s="28" t="s">
        <v>37</v>
      </c>
      <c r="J96" s="31" t="str">
        <f>E24</f>
        <v>ing. Kateřina Tumpachová</v>
      </c>
      <c r="L96" s="33"/>
    </row>
    <row r="97" spans="2:12" s="1" customFormat="1" ht="10.35" customHeight="1">
      <c r="B97" s="33"/>
      <c r="L97" s="33"/>
    </row>
    <row r="98" spans="2:20" s="10" customFormat="1" ht="29.25" customHeight="1">
      <c r="B98" s="108"/>
      <c r="C98" s="109" t="s">
        <v>163</v>
      </c>
      <c r="D98" s="110" t="s">
        <v>62</v>
      </c>
      <c r="E98" s="110" t="s">
        <v>58</v>
      </c>
      <c r="F98" s="110" t="s">
        <v>59</v>
      </c>
      <c r="G98" s="110" t="s">
        <v>164</v>
      </c>
      <c r="H98" s="110" t="s">
        <v>165</v>
      </c>
      <c r="I98" s="110" t="s">
        <v>166</v>
      </c>
      <c r="J98" s="110" t="s">
        <v>151</v>
      </c>
      <c r="K98" s="111" t="s">
        <v>167</v>
      </c>
      <c r="L98" s="108"/>
      <c r="M98" s="57" t="s">
        <v>3</v>
      </c>
      <c r="N98" s="58" t="s">
        <v>47</v>
      </c>
      <c r="O98" s="58" t="s">
        <v>168</v>
      </c>
      <c r="P98" s="58" t="s">
        <v>169</v>
      </c>
      <c r="Q98" s="58" t="s">
        <v>170</v>
      </c>
      <c r="R98" s="58" t="s">
        <v>171</v>
      </c>
      <c r="S98" s="58" t="s">
        <v>172</v>
      </c>
      <c r="T98" s="59" t="s">
        <v>173</v>
      </c>
    </row>
    <row r="99" spans="2:63" s="1" customFormat="1" ht="22.9" customHeight="1">
      <c r="B99" s="33"/>
      <c r="C99" s="62" t="s">
        <v>174</v>
      </c>
      <c r="J99" s="112">
        <f>BK99</f>
        <v>0</v>
      </c>
      <c r="L99" s="33"/>
      <c r="M99" s="60"/>
      <c r="N99" s="51"/>
      <c r="O99" s="51"/>
      <c r="P99" s="113">
        <f>P100+P569+P888</f>
        <v>0</v>
      </c>
      <c r="Q99" s="51"/>
      <c r="R99" s="113">
        <f>R100+R569+R888</f>
        <v>51.2727838213577</v>
      </c>
      <c r="S99" s="51"/>
      <c r="T99" s="114">
        <f>T100+T569+T888</f>
        <v>23.385713</v>
      </c>
      <c r="AT99" s="18" t="s">
        <v>76</v>
      </c>
      <c r="AU99" s="18" t="s">
        <v>152</v>
      </c>
      <c r="BK99" s="115">
        <f>BK100+BK569+BK888</f>
        <v>0</v>
      </c>
    </row>
    <row r="100" spans="2:63" s="11" customFormat="1" ht="25.9" customHeight="1">
      <c r="B100" s="116"/>
      <c r="D100" s="117" t="s">
        <v>76</v>
      </c>
      <c r="E100" s="118" t="s">
        <v>175</v>
      </c>
      <c r="F100" s="118" t="s">
        <v>176</v>
      </c>
      <c r="I100" s="119"/>
      <c r="J100" s="120">
        <f>BK100</f>
        <v>0</v>
      </c>
      <c r="L100" s="116"/>
      <c r="M100" s="121"/>
      <c r="P100" s="122">
        <f>P101+P137+P148+P154+P183+P400+P541+P564</f>
        <v>0</v>
      </c>
      <c r="R100" s="122">
        <f>R101+R137+R148+R154+R183+R400+R541+R564</f>
        <v>38.0330339150457</v>
      </c>
      <c r="T100" s="123">
        <f>T101+T137+T148+T154+T183+T400+T541+T564</f>
        <v>23.385713</v>
      </c>
      <c r="AR100" s="117" t="s">
        <v>85</v>
      </c>
      <c r="AT100" s="124" t="s">
        <v>76</v>
      </c>
      <c r="AU100" s="124" t="s">
        <v>77</v>
      </c>
      <c r="AY100" s="117" t="s">
        <v>177</v>
      </c>
      <c r="BK100" s="125">
        <f>BK101+BK137+BK148+BK154+BK183+BK400+BK541+BK564</f>
        <v>0</v>
      </c>
    </row>
    <row r="101" spans="2:63" s="11" customFormat="1" ht="22.9" customHeight="1">
      <c r="B101" s="116"/>
      <c r="D101" s="117" t="s">
        <v>76</v>
      </c>
      <c r="E101" s="126" t="s">
        <v>85</v>
      </c>
      <c r="F101" s="126" t="s">
        <v>2304</v>
      </c>
      <c r="I101" s="119"/>
      <c r="J101" s="127">
        <f>BK101</f>
        <v>0</v>
      </c>
      <c r="L101" s="116"/>
      <c r="M101" s="121"/>
      <c r="P101" s="122">
        <f>SUM(P102:P136)</f>
        <v>0</v>
      </c>
      <c r="R101" s="122">
        <f>SUM(R102:R136)</f>
        <v>0</v>
      </c>
      <c r="T101" s="123">
        <f>SUM(T102:T136)</f>
        <v>0.5616599999999999</v>
      </c>
      <c r="AR101" s="117" t="s">
        <v>85</v>
      </c>
      <c r="AT101" s="124" t="s">
        <v>76</v>
      </c>
      <c r="AU101" s="124" t="s">
        <v>85</v>
      </c>
      <c r="AY101" s="117" t="s">
        <v>177</v>
      </c>
      <c r="BK101" s="125">
        <f>SUM(BK102:BK136)</f>
        <v>0</v>
      </c>
    </row>
    <row r="102" spans="2:65" s="1" customFormat="1" ht="24.2" customHeight="1">
      <c r="B102" s="128"/>
      <c r="C102" s="129" t="s">
        <v>85</v>
      </c>
      <c r="D102" s="129" t="s">
        <v>180</v>
      </c>
      <c r="E102" s="130" t="s">
        <v>2305</v>
      </c>
      <c r="F102" s="131" t="s">
        <v>2306</v>
      </c>
      <c r="G102" s="132" t="s">
        <v>332</v>
      </c>
      <c r="H102" s="133">
        <v>2.553</v>
      </c>
      <c r="I102" s="134"/>
      <c r="J102" s="135">
        <f>ROUND(I102*H102,2)</f>
        <v>0</v>
      </c>
      <c r="K102" s="131" t="s">
        <v>184</v>
      </c>
      <c r="L102" s="33"/>
      <c r="M102" s="136" t="s">
        <v>3</v>
      </c>
      <c r="N102" s="137" t="s">
        <v>48</v>
      </c>
      <c r="P102" s="138">
        <f>O102*H102</f>
        <v>0</v>
      </c>
      <c r="Q102" s="138">
        <v>0</v>
      </c>
      <c r="R102" s="138">
        <f>Q102*H102</f>
        <v>0</v>
      </c>
      <c r="S102" s="138">
        <v>0.22</v>
      </c>
      <c r="T102" s="139">
        <f>S102*H102</f>
        <v>0.5616599999999999</v>
      </c>
      <c r="AR102" s="140" t="s">
        <v>185</v>
      </c>
      <c r="AT102" s="140" t="s">
        <v>180</v>
      </c>
      <c r="AU102" s="140" t="s">
        <v>87</v>
      </c>
      <c r="AY102" s="18" t="s">
        <v>177</v>
      </c>
      <c r="BE102" s="141">
        <f>IF(N102="základní",J102,0)</f>
        <v>0</v>
      </c>
      <c r="BF102" s="141">
        <f>IF(N102="snížená",J102,0)</f>
        <v>0</v>
      </c>
      <c r="BG102" s="141">
        <f>IF(N102="zákl. přenesená",J102,0)</f>
        <v>0</v>
      </c>
      <c r="BH102" s="141">
        <f>IF(N102="sníž. přenesená",J102,0)</f>
        <v>0</v>
      </c>
      <c r="BI102" s="141">
        <f>IF(N102="nulová",J102,0)</f>
        <v>0</v>
      </c>
      <c r="BJ102" s="18" t="s">
        <v>85</v>
      </c>
      <c r="BK102" s="141">
        <f>ROUND(I102*H102,2)</f>
        <v>0</v>
      </c>
      <c r="BL102" s="18" t="s">
        <v>185</v>
      </c>
      <c r="BM102" s="140" t="s">
        <v>2307</v>
      </c>
    </row>
    <row r="103" spans="2:47" s="1" customFormat="1" ht="29.25">
      <c r="B103" s="33"/>
      <c r="D103" s="142" t="s">
        <v>187</v>
      </c>
      <c r="F103" s="143" t="s">
        <v>2308</v>
      </c>
      <c r="I103" s="144"/>
      <c r="L103" s="33"/>
      <c r="M103" s="145"/>
      <c r="T103" s="54"/>
      <c r="AT103" s="18" t="s">
        <v>187</v>
      </c>
      <c r="AU103" s="18" t="s">
        <v>87</v>
      </c>
    </row>
    <row r="104" spans="2:47" s="1" customFormat="1" ht="11.25">
      <c r="B104" s="33"/>
      <c r="D104" s="146" t="s">
        <v>189</v>
      </c>
      <c r="F104" s="147" t="s">
        <v>2309</v>
      </c>
      <c r="I104" s="144"/>
      <c r="L104" s="33"/>
      <c r="M104" s="145"/>
      <c r="T104" s="54"/>
      <c r="AT104" s="18" t="s">
        <v>189</v>
      </c>
      <c r="AU104" s="18" t="s">
        <v>87</v>
      </c>
    </row>
    <row r="105" spans="2:47" s="1" customFormat="1" ht="302.25">
      <c r="B105" s="33"/>
      <c r="D105" s="142" t="s">
        <v>191</v>
      </c>
      <c r="F105" s="148" t="s">
        <v>2310</v>
      </c>
      <c r="I105" s="144"/>
      <c r="L105" s="33"/>
      <c r="M105" s="145"/>
      <c r="T105" s="54"/>
      <c r="AT105" s="18" t="s">
        <v>191</v>
      </c>
      <c r="AU105" s="18" t="s">
        <v>87</v>
      </c>
    </row>
    <row r="106" spans="2:51" s="12" customFormat="1" ht="11.25">
      <c r="B106" s="149"/>
      <c r="D106" s="142" t="s">
        <v>193</v>
      </c>
      <c r="E106" s="150" t="s">
        <v>3</v>
      </c>
      <c r="F106" s="151" t="s">
        <v>2311</v>
      </c>
      <c r="H106" s="152">
        <v>2.553</v>
      </c>
      <c r="I106" s="153"/>
      <c r="L106" s="149"/>
      <c r="M106" s="154"/>
      <c r="T106" s="155"/>
      <c r="AT106" s="150" t="s">
        <v>193</v>
      </c>
      <c r="AU106" s="150" t="s">
        <v>87</v>
      </c>
      <c r="AV106" s="12" t="s">
        <v>87</v>
      </c>
      <c r="AW106" s="12" t="s">
        <v>36</v>
      </c>
      <c r="AX106" s="12" t="s">
        <v>85</v>
      </c>
      <c r="AY106" s="150" t="s">
        <v>177</v>
      </c>
    </row>
    <row r="107" spans="2:65" s="1" customFormat="1" ht="24.2" customHeight="1">
      <c r="B107" s="128"/>
      <c r="C107" s="129" t="s">
        <v>87</v>
      </c>
      <c r="D107" s="129" t="s">
        <v>180</v>
      </c>
      <c r="E107" s="130" t="s">
        <v>2312</v>
      </c>
      <c r="F107" s="131" t="s">
        <v>2313</v>
      </c>
      <c r="G107" s="132" t="s">
        <v>806</v>
      </c>
      <c r="H107" s="133">
        <v>0.144</v>
      </c>
      <c r="I107" s="134"/>
      <c r="J107" s="135">
        <f>ROUND(I107*H107,2)</f>
        <v>0</v>
      </c>
      <c r="K107" s="131" t="s">
        <v>184</v>
      </c>
      <c r="L107" s="33"/>
      <c r="M107" s="136" t="s">
        <v>3</v>
      </c>
      <c r="N107" s="137" t="s">
        <v>48</v>
      </c>
      <c r="P107" s="138">
        <f>O107*H107</f>
        <v>0</v>
      </c>
      <c r="Q107" s="138">
        <v>0</v>
      </c>
      <c r="R107" s="138">
        <f>Q107*H107</f>
        <v>0</v>
      </c>
      <c r="S107" s="138">
        <v>0</v>
      </c>
      <c r="T107" s="139">
        <f>S107*H107</f>
        <v>0</v>
      </c>
      <c r="AR107" s="140" t="s">
        <v>185</v>
      </c>
      <c r="AT107" s="140" t="s">
        <v>180</v>
      </c>
      <c r="AU107" s="140" t="s">
        <v>87</v>
      </c>
      <c r="AY107" s="18" t="s">
        <v>177</v>
      </c>
      <c r="BE107" s="141">
        <f>IF(N107="základní",J107,0)</f>
        <v>0</v>
      </c>
      <c r="BF107" s="141">
        <f>IF(N107="snížená",J107,0)</f>
        <v>0</v>
      </c>
      <c r="BG107" s="141">
        <f>IF(N107="zákl. přenesená",J107,0)</f>
        <v>0</v>
      </c>
      <c r="BH107" s="141">
        <f>IF(N107="sníž. přenesená",J107,0)</f>
        <v>0</v>
      </c>
      <c r="BI107" s="141">
        <f>IF(N107="nulová",J107,0)</f>
        <v>0</v>
      </c>
      <c r="BJ107" s="18" t="s">
        <v>85</v>
      </c>
      <c r="BK107" s="141">
        <f>ROUND(I107*H107,2)</f>
        <v>0</v>
      </c>
      <c r="BL107" s="18" t="s">
        <v>185</v>
      </c>
      <c r="BM107" s="140" t="s">
        <v>2314</v>
      </c>
    </row>
    <row r="108" spans="2:47" s="1" customFormat="1" ht="29.25">
      <c r="B108" s="33"/>
      <c r="D108" s="142" t="s">
        <v>187</v>
      </c>
      <c r="F108" s="143" t="s">
        <v>2315</v>
      </c>
      <c r="I108" s="144"/>
      <c r="L108" s="33"/>
      <c r="M108" s="145"/>
      <c r="T108" s="54"/>
      <c r="AT108" s="18" t="s">
        <v>187</v>
      </c>
      <c r="AU108" s="18" t="s">
        <v>87</v>
      </c>
    </row>
    <row r="109" spans="2:47" s="1" customFormat="1" ht="11.25">
      <c r="B109" s="33"/>
      <c r="D109" s="146" t="s">
        <v>189</v>
      </c>
      <c r="F109" s="147" t="s">
        <v>2316</v>
      </c>
      <c r="I109" s="144"/>
      <c r="L109" s="33"/>
      <c r="M109" s="145"/>
      <c r="T109" s="54"/>
      <c r="AT109" s="18" t="s">
        <v>189</v>
      </c>
      <c r="AU109" s="18" t="s">
        <v>87</v>
      </c>
    </row>
    <row r="110" spans="2:51" s="13" customFormat="1" ht="11.25">
      <c r="B110" s="156"/>
      <c r="D110" s="142" t="s">
        <v>193</v>
      </c>
      <c r="E110" s="157" t="s">
        <v>3</v>
      </c>
      <c r="F110" s="158" t="s">
        <v>2317</v>
      </c>
      <c r="H110" s="157" t="s">
        <v>3</v>
      </c>
      <c r="I110" s="159"/>
      <c r="L110" s="156"/>
      <c r="M110" s="160"/>
      <c r="T110" s="161"/>
      <c r="AT110" s="157" t="s">
        <v>193</v>
      </c>
      <c r="AU110" s="157" t="s">
        <v>87</v>
      </c>
      <c r="AV110" s="13" t="s">
        <v>85</v>
      </c>
      <c r="AW110" s="13" t="s">
        <v>36</v>
      </c>
      <c r="AX110" s="13" t="s">
        <v>77</v>
      </c>
      <c r="AY110" s="157" t="s">
        <v>177</v>
      </c>
    </row>
    <row r="111" spans="2:51" s="12" customFormat="1" ht="11.25">
      <c r="B111" s="149"/>
      <c r="D111" s="142" t="s">
        <v>193</v>
      </c>
      <c r="E111" s="150" t="s">
        <v>3</v>
      </c>
      <c r="F111" s="151" t="s">
        <v>2318</v>
      </c>
      <c r="H111" s="152">
        <v>0.144</v>
      </c>
      <c r="I111" s="153"/>
      <c r="L111" s="149"/>
      <c r="M111" s="154"/>
      <c r="T111" s="155"/>
      <c r="AT111" s="150" t="s">
        <v>193</v>
      </c>
      <c r="AU111" s="150" t="s">
        <v>87</v>
      </c>
      <c r="AV111" s="12" t="s">
        <v>87</v>
      </c>
      <c r="AW111" s="12" t="s">
        <v>36</v>
      </c>
      <c r="AX111" s="12" t="s">
        <v>85</v>
      </c>
      <c r="AY111" s="150" t="s">
        <v>177</v>
      </c>
    </row>
    <row r="112" spans="2:65" s="1" customFormat="1" ht="33" customHeight="1">
      <c r="B112" s="128"/>
      <c r="C112" s="129" t="s">
        <v>198</v>
      </c>
      <c r="D112" s="129" t="s">
        <v>180</v>
      </c>
      <c r="E112" s="130" t="s">
        <v>2319</v>
      </c>
      <c r="F112" s="131" t="s">
        <v>2320</v>
      </c>
      <c r="G112" s="132" t="s">
        <v>806</v>
      </c>
      <c r="H112" s="133">
        <v>9.072</v>
      </c>
      <c r="I112" s="134"/>
      <c r="J112" s="135">
        <f>ROUND(I112*H112,2)</f>
        <v>0</v>
      </c>
      <c r="K112" s="131" t="s">
        <v>184</v>
      </c>
      <c r="L112" s="33"/>
      <c r="M112" s="136" t="s">
        <v>3</v>
      </c>
      <c r="N112" s="137" t="s">
        <v>48</v>
      </c>
      <c r="P112" s="138">
        <f>O112*H112</f>
        <v>0</v>
      </c>
      <c r="Q112" s="138">
        <v>0</v>
      </c>
      <c r="R112" s="138">
        <f>Q112*H112</f>
        <v>0</v>
      </c>
      <c r="S112" s="138">
        <v>0</v>
      </c>
      <c r="T112" s="139">
        <f>S112*H112</f>
        <v>0</v>
      </c>
      <c r="AR112" s="140" t="s">
        <v>185</v>
      </c>
      <c r="AT112" s="140" t="s">
        <v>180</v>
      </c>
      <c r="AU112" s="140" t="s">
        <v>87</v>
      </c>
      <c r="AY112" s="18" t="s">
        <v>177</v>
      </c>
      <c r="BE112" s="141">
        <f>IF(N112="základní",J112,0)</f>
        <v>0</v>
      </c>
      <c r="BF112" s="141">
        <f>IF(N112="snížená",J112,0)</f>
        <v>0</v>
      </c>
      <c r="BG112" s="141">
        <f>IF(N112="zákl. přenesená",J112,0)</f>
        <v>0</v>
      </c>
      <c r="BH112" s="141">
        <f>IF(N112="sníž. přenesená",J112,0)</f>
        <v>0</v>
      </c>
      <c r="BI112" s="141">
        <f>IF(N112="nulová",J112,0)</f>
        <v>0</v>
      </c>
      <c r="BJ112" s="18" t="s">
        <v>85</v>
      </c>
      <c r="BK112" s="141">
        <f>ROUND(I112*H112,2)</f>
        <v>0</v>
      </c>
      <c r="BL112" s="18" t="s">
        <v>185</v>
      </c>
      <c r="BM112" s="140" t="s">
        <v>2321</v>
      </c>
    </row>
    <row r="113" spans="2:47" s="1" customFormat="1" ht="29.25">
      <c r="B113" s="33"/>
      <c r="D113" s="142" t="s">
        <v>187</v>
      </c>
      <c r="F113" s="143" t="s">
        <v>2322</v>
      </c>
      <c r="I113" s="144"/>
      <c r="L113" s="33"/>
      <c r="M113" s="145"/>
      <c r="T113" s="54"/>
      <c r="AT113" s="18" t="s">
        <v>187</v>
      </c>
      <c r="AU113" s="18" t="s">
        <v>87</v>
      </c>
    </row>
    <row r="114" spans="2:47" s="1" customFormat="1" ht="11.25">
      <c r="B114" s="33"/>
      <c r="D114" s="146" t="s">
        <v>189</v>
      </c>
      <c r="F114" s="147" t="s">
        <v>2323</v>
      </c>
      <c r="I114" s="144"/>
      <c r="L114" s="33"/>
      <c r="M114" s="145"/>
      <c r="T114" s="54"/>
      <c r="AT114" s="18" t="s">
        <v>189</v>
      </c>
      <c r="AU114" s="18" t="s">
        <v>87</v>
      </c>
    </row>
    <row r="115" spans="2:51" s="12" customFormat="1" ht="11.25">
      <c r="B115" s="149"/>
      <c r="D115" s="142" t="s">
        <v>193</v>
      </c>
      <c r="E115" s="150" t="s">
        <v>3</v>
      </c>
      <c r="F115" s="151" t="s">
        <v>2324</v>
      </c>
      <c r="H115" s="152">
        <v>7.92</v>
      </c>
      <c r="I115" s="153"/>
      <c r="L115" s="149"/>
      <c r="M115" s="154"/>
      <c r="T115" s="155"/>
      <c r="AT115" s="150" t="s">
        <v>193</v>
      </c>
      <c r="AU115" s="150" t="s">
        <v>87</v>
      </c>
      <c r="AV115" s="12" t="s">
        <v>87</v>
      </c>
      <c r="AW115" s="12" t="s">
        <v>36</v>
      </c>
      <c r="AX115" s="12" t="s">
        <v>77</v>
      </c>
      <c r="AY115" s="150" t="s">
        <v>177</v>
      </c>
    </row>
    <row r="116" spans="2:51" s="13" customFormat="1" ht="11.25">
      <c r="B116" s="156"/>
      <c r="D116" s="142" t="s">
        <v>193</v>
      </c>
      <c r="E116" s="157" t="s">
        <v>3</v>
      </c>
      <c r="F116" s="158" t="s">
        <v>2325</v>
      </c>
      <c r="H116" s="157" t="s">
        <v>3</v>
      </c>
      <c r="I116" s="159"/>
      <c r="L116" s="156"/>
      <c r="M116" s="160"/>
      <c r="T116" s="161"/>
      <c r="AT116" s="157" t="s">
        <v>193</v>
      </c>
      <c r="AU116" s="157" t="s">
        <v>87</v>
      </c>
      <c r="AV116" s="13" t="s">
        <v>85</v>
      </c>
      <c r="AW116" s="13" t="s">
        <v>36</v>
      </c>
      <c r="AX116" s="13" t="s">
        <v>77</v>
      </c>
      <c r="AY116" s="157" t="s">
        <v>177</v>
      </c>
    </row>
    <row r="117" spans="2:51" s="12" customFormat="1" ht="11.25">
      <c r="B117" s="149"/>
      <c r="D117" s="142" t="s">
        <v>193</v>
      </c>
      <c r="E117" s="150" t="s">
        <v>3</v>
      </c>
      <c r="F117" s="151" t="s">
        <v>2326</v>
      </c>
      <c r="H117" s="152">
        <v>1.152</v>
      </c>
      <c r="I117" s="153"/>
      <c r="L117" s="149"/>
      <c r="M117" s="154"/>
      <c r="T117" s="155"/>
      <c r="AT117" s="150" t="s">
        <v>193</v>
      </c>
      <c r="AU117" s="150" t="s">
        <v>87</v>
      </c>
      <c r="AV117" s="12" t="s">
        <v>87</v>
      </c>
      <c r="AW117" s="12" t="s">
        <v>36</v>
      </c>
      <c r="AX117" s="12" t="s">
        <v>77</v>
      </c>
      <c r="AY117" s="150" t="s">
        <v>177</v>
      </c>
    </row>
    <row r="118" spans="2:51" s="15" customFormat="1" ht="11.25">
      <c r="B118" s="169"/>
      <c r="D118" s="142" t="s">
        <v>193</v>
      </c>
      <c r="E118" s="170" t="s">
        <v>3</v>
      </c>
      <c r="F118" s="171" t="s">
        <v>201</v>
      </c>
      <c r="H118" s="172">
        <v>9.072</v>
      </c>
      <c r="I118" s="173"/>
      <c r="L118" s="169"/>
      <c r="M118" s="174"/>
      <c r="T118" s="175"/>
      <c r="AT118" s="170" t="s">
        <v>193</v>
      </c>
      <c r="AU118" s="170" t="s">
        <v>87</v>
      </c>
      <c r="AV118" s="15" t="s">
        <v>185</v>
      </c>
      <c r="AW118" s="15" t="s">
        <v>36</v>
      </c>
      <c r="AX118" s="15" t="s">
        <v>85</v>
      </c>
      <c r="AY118" s="170" t="s">
        <v>177</v>
      </c>
    </row>
    <row r="119" spans="2:65" s="1" customFormat="1" ht="37.9" customHeight="1">
      <c r="B119" s="128"/>
      <c r="C119" s="129" t="s">
        <v>185</v>
      </c>
      <c r="D119" s="129" t="s">
        <v>180</v>
      </c>
      <c r="E119" s="130" t="s">
        <v>2327</v>
      </c>
      <c r="F119" s="131" t="s">
        <v>2328</v>
      </c>
      <c r="G119" s="132" t="s">
        <v>806</v>
      </c>
      <c r="H119" s="133">
        <v>9.216</v>
      </c>
      <c r="I119" s="134"/>
      <c r="J119" s="135">
        <f>ROUND(I119*H119,2)</f>
        <v>0</v>
      </c>
      <c r="K119" s="131" t="s">
        <v>184</v>
      </c>
      <c r="L119" s="33"/>
      <c r="M119" s="136" t="s">
        <v>3</v>
      </c>
      <c r="N119" s="137" t="s">
        <v>48</v>
      </c>
      <c r="P119" s="138">
        <f>O119*H119</f>
        <v>0</v>
      </c>
      <c r="Q119" s="138">
        <v>0</v>
      </c>
      <c r="R119" s="138">
        <f>Q119*H119</f>
        <v>0</v>
      </c>
      <c r="S119" s="138">
        <v>0</v>
      </c>
      <c r="T119" s="139">
        <f>S119*H119</f>
        <v>0</v>
      </c>
      <c r="AR119" s="140" t="s">
        <v>185</v>
      </c>
      <c r="AT119" s="140" t="s">
        <v>180</v>
      </c>
      <c r="AU119" s="140" t="s">
        <v>87</v>
      </c>
      <c r="AY119" s="18" t="s">
        <v>177</v>
      </c>
      <c r="BE119" s="141">
        <f>IF(N119="základní",J119,0)</f>
        <v>0</v>
      </c>
      <c r="BF119" s="141">
        <f>IF(N119="snížená",J119,0)</f>
        <v>0</v>
      </c>
      <c r="BG119" s="141">
        <f>IF(N119="zákl. přenesená",J119,0)</f>
        <v>0</v>
      </c>
      <c r="BH119" s="141">
        <f>IF(N119="sníž. přenesená",J119,0)</f>
        <v>0</v>
      </c>
      <c r="BI119" s="141">
        <f>IF(N119="nulová",J119,0)</f>
        <v>0</v>
      </c>
      <c r="BJ119" s="18" t="s">
        <v>85</v>
      </c>
      <c r="BK119" s="141">
        <f>ROUND(I119*H119,2)</f>
        <v>0</v>
      </c>
      <c r="BL119" s="18" t="s">
        <v>185</v>
      </c>
      <c r="BM119" s="140" t="s">
        <v>2329</v>
      </c>
    </row>
    <row r="120" spans="2:47" s="1" customFormat="1" ht="39">
      <c r="B120" s="33"/>
      <c r="D120" s="142" t="s">
        <v>187</v>
      </c>
      <c r="F120" s="143" t="s">
        <v>2330</v>
      </c>
      <c r="I120" s="144"/>
      <c r="L120" s="33"/>
      <c r="M120" s="145"/>
      <c r="T120" s="54"/>
      <c r="AT120" s="18" t="s">
        <v>187</v>
      </c>
      <c r="AU120" s="18" t="s">
        <v>87</v>
      </c>
    </row>
    <row r="121" spans="2:47" s="1" customFormat="1" ht="11.25">
      <c r="B121" s="33"/>
      <c r="D121" s="146" t="s">
        <v>189</v>
      </c>
      <c r="F121" s="147" t="s">
        <v>2331</v>
      </c>
      <c r="I121" s="144"/>
      <c r="L121" s="33"/>
      <c r="M121" s="145"/>
      <c r="T121" s="54"/>
      <c r="AT121" s="18" t="s">
        <v>189</v>
      </c>
      <c r="AU121" s="18" t="s">
        <v>87</v>
      </c>
    </row>
    <row r="122" spans="2:47" s="1" customFormat="1" ht="78">
      <c r="B122" s="33"/>
      <c r="D122" s="142" t="s">
        <v>191</v>
      </c>
      <c r="F122" s="148" t="s">
        <v>2332</v>
      </c>
      <c r="I122" s="144"/>
      <c r="L122" s="33"/>
      <c r="M122" s="145"/>
      <c r="T122" s="54"/>
      <c r="AT122" s="18" t="s">
        <v>191</v>
      </c>
      <c r="AU122" s="18" t="s">
        <v>87</v>
      </c>
    </row>
    <row r="123" spans="2:65" s="1" customFormat="1" ht="37.9" customHeight="1">
      <c r="B123" s="128"/>
      <c r="C123" s="129" t="s">
        <v>200</v>
      </c>
      <c r="D123" s="129" t="s">
        <v>180</v>
      </c>
      <c r="E123" s="130" t="s">
        <v>2333</v>
      </c>
      <c r="F123" s="131" t="s">
        <v>2334</v>
      </c>
      <c r="G123" s="132" t="s">
        <v>806</v>
      </c>
      <c r="H123" s="133">
        <v>92.16</v>
      </c>
      <c r="I123" s="134"/>
      <c r="J123" s="135">
        <f>ROUND(I123*H123,2)</f>
        <v>0</v>
      </c>
      <c r="K123" s="131" t="s">
        <v>184</v>
      </c>
      <c r="L123" s="33"/>
      <c r="M123" s="136" t="s">
        <v>3</v>
      </c>
      <c r="N123" s="137" t="s">
        <v>48</v>
      </c>
      <c r="P123" s="138">
        <f>O123*H123</f>
        <v>0</v>
      </c>
      <c r="Q123" s="138">
        <v>0</v>
      </c>
      <c r="R123" s="138">
        <f>Q123*H123</f>
        <v>0</v>
      </c>
      <c r="S123" s="138">
        <v>0</v>
      </c>
      <c r="T123" s="139">
        <f>S123*H123</f>
        <v>0</v>
      </c>
      <c r="AR123" s="140" t="s">
        <v>185</v>
      </c>
      <c r="AT123" s="140" t="s">
        <v>180</v>
      </c>
      <c r="AU123" s="140" t="s">
        <v>87</v>
      </c>
      <c r="AY123" s="18" t="s">
        <v>177</v>
      </c>
      <c r="BE123" s="141">
        <f>IF(N123="základní",J123,0)</f>
        <v>0</v>
      </c>
      <c r="BF123" s="141">
        <f>IF(N123="snížená",J123,0)</f>
        <v>0</v>
      </c>
      <c r="BG123" s="141">
        <f>IF(N123="zákl. přenesená",J123,0)</f>
        <v>0</v>
      </c>
      <c r="BH123" s="141">
        <f>IF(N123="sníž. přenesená",J123,0)</f>
        <v>0</v>
      </c>
      <c r="BI123" s="141">
        <f>IF(N123="nulová",J123,0)</f>
        <v>0</v>
      </c>
      <c r="BJ123" s="18" t="s">
        <v>85</v>
      </c>
      <c r="BK123" s="141">
        <f>ROUND(I123*H123,2)</f>
        <v>0</v>
      </c>
      <c r="BL123" s="18" t="s">
        <v>185</v>
      </c>
      <c r="BM123" s="140" t="s">
        <v>2335</v>
      </c>
    </row>
    <row r="124" spans="2:47" s="1" customFormat="1" ht="48.75">
      <c r="B124" s="33"/>
      <c r="D124" s="142" t="s">
        <v>187</v>
      </c>
      <c r="F124" s="143" t="s">
        <v>2336</v>
      </c>
      <c r="I124" s="144"/>
      <c r="L124" s="33"/>
      <c r="M124" s="145"/>
      <c r="T124" s="54"/>
      <c r="AT124" s="18" t="s">
        <v>187</v>
      </c>
      <c r="AU124" s="18" t="s">
        <v>87</v>
      </c>
    </row>
    <row r="125" spans="2:47" s="1" customFormat="1" ht="11.25">
      <c r="B125" s="33"/>
      <c r="D125" s="146" t="s">
        <v>189</v>
      </c>
      <c r="F125" s="147" t="s">
        <v>2337</v>
      </c>
      <c r="I125" s="144"/>
      <c r="L125" s="33"/>
      <c r="M125" s="145"/>
      <c r="T125" s="54"/>
      <c r="AT125" s="18" t="s">
        <v>189</v>
      </c>
      <c r="AU125" s="18" t="s">
        <v>87</v>
      </c>
    </row>
    <row r="126" spans="2:47" s="1" customFormat="1" ht="78">
      <c r="B126" s="33"/>
      <c r="D126" s="142" t="s">
        <v>191</v>
      </c>
      <c r="F126" s="148" t="s">
        <v>2332</v>
      </c>
      <c r="I126" s="144"/>
      <c r="L126" s="33"/>
      <c r="M126" s="145"/>
      <c r="T126" s="54"/>
      <c r="AT126" s="18" t="s">
        <v>191</v>
      </c>
      <c r="AU126" s="18" t="s">
        <v>87</v>
      </c>
    </row>
    <row r="127" spans="2:51" s="12" customFormat="1" ht="11.25">
      <c r="B127" s="149"/>
      <c r="D127" s="142" t="s">
        <v>193</v>
      </c>
      <c r="F127" s="151" t="s">
        <v>2338</v>
      </c>
      <c r="H127" s="152">
        <v>92.16</v>
      </c>
      <c r="I127" s="153"/>
      <c r="L127" s="149"/>
      <c r="M127" s="154"/>
      <c r="T127" s="155"/>
      <c r="AT127" s="150" t="s">
        <v>193</v>
      </c>
      <c r="AU127" s="150" t="s">
        <v>87</v>
      </c>
      <c r="AV127" s="12" t="s">
        <v>87</v>
      </c>
      <c r="AW127" s="12" t="s">
        <v>4</v>
      </c>
      <c r="AX127" s="12" t="s">
        <v>85</v>
      </c>
      <c r="AY127" s="150" t="s">
        <v>177</v>
      </c>
    </row>
    <row r="128" spans="2:65" s="1" customFormat="1" ht="33" customHeight="1">
      <c r="B128" s="128"/>
      <c r="C128" s="129" t="s">
        <v>233</v>
      </c>
      <c r="D128" s="129" t="s">
        <v>180</v>
      </c>
      <c r="E128" s="130" t="s">
        <v>2339</v>
      </c>
      <c r="F128" s="131" t="s">
        <v>2340</v>
      </c>
      <c r="G128" s="132" t="s">
        <v>183</v>
      </c>
      <c r="H128" s="133">
        <v>16.589</v>
      </c>
      <c r="I128" s="134"/>
      <c r="J128" s="135">
        <f>ROUND(I128*H128,2)</f>
        <v>0</v>
      </c>
      <c r="K128" s="131" t="s">
        <v>184</v>
      </c>
      <c r="L128" s="33"/>
      <c r="M128" s="136" t="s">
        <v>3</v>
      </c>
      <c r="N128" s="137" t="s">
        <v>48</v>
      </c>
      <c r="P128" s="138">
        <f>O128*H128</f>
        <v>0</v>
      </c>
      <c r="Q128" s="138">
        <v>0</v>
      </c>
      <c r="R128" s="138">
        <f>Q128*H128</f>
        <v>0</v>
      </c>
      <c r="S128" s="138">
        <v>0</v>
      </c>
      <c r="T128" s="139">
        <f>S128*H128</f>
        <v>0</v>
      </c>
      <c r="AR128" s="140" t="s">
        <v>185</v>
      </c>
      <c r="AT128" s="140" t="s">
        <v>180</v>
      </c>
      <c r="AU128" s="140" t="s">
        <v>87</v>
      </c>
      <c r="AY128" s="18" t="s">
        <v>177</v>
      </c>
      <c r="BE128" s="141">
        <f>IF(N128="základní",J128,0)</f>
        <v>0</v>
      </c>
      <c r="BF128" s="141">
        <f>IF(N128="snížená",J128,0)</f>
        <v>0</v>
      </c>
      <c r="BG128" s="141">
        <f>IF(N128="zákl. přenesená",J128,0)</f>
        <v>0</v>
      </c>
      <c r="BH128" s="141">
        <f>IF(N128="sníž. přenesená",J128,0)</f>
        <v>0</v>
      </c>
      <c r="BI128" s="141">
        <f>IF(N128="nulová",J128,0)</f>
        <v>0</v>
      </c>
      <c r="BJ128" s="18" t="s">
        <v>85</v>
      </c>
      <c r="BK128" s="141">
        <f>ROUND(I128*H128,2)</f>
        <v>0</v>
      </c>
      <c r="BL128" s="18" t="s">
        <v>185</v>
      </c>
      <c r="BM128" s="140" t="s">
        <v>2341</v>
      </c>
    </row>
    <row r="129" spans="2:47" s="1" customFormat="1" ht="29.25">
      <c r="B129" s="33"/>
      <c r="D129" s="142" t="s">
        <v>187</v>
      </c>
      <c r="F129" s="143" t="s">
        <v>2342</v>
      </c>
      <c r="I129" s="144"/>
      <c r="L129" s="33"/>
      <c r="M129" s="145"/>
      <c r="T129" s="54"/>
      <c r="AT129" s="18" t="s">
        <v>187</v>
      </c>
      <c r="AU129" s="18" t="s">
        <v>87</v>
      </c>
    </row>
    <row r="130" spans="2:47" s="1" customFormat="1" ht="11.25">
      <c r="B130" s="33"/>
      <c r="D130" s="146" t="s">
        <v>189</v>
      </c>
      <c r="F130" s="147" t="s">
        <v>2343</v>
      </c>
      <c r="I130" s="144"/>
      <c r="L130" s="33"/>
      <c r="M130" s="145"/>
      <c r="T130" s="54"/>
      <c r="AT130" s="18" t="s">
        <v>189</v>
      </c>
      <c r="AU130" s="18" t="s">
        <v>87</v>
      </c>
    </row>
    <row r="131" spans="2:47" s="1" customFormat="1" ht="58.5">
      <c r="B131" s="33"/>
      <c r="D131" s="142" t="s">
        <v>191</v>
      </c>
      <c r="F131" s="148" t="s">
        <v>228</v>
      </c>
      <c r="I131" s="144"/>
      <c r="L131" s="33"/>
      <c r="M131" s="145"/>
      <c r="T131" s="54"/>
      <c r="AT131" s="18" t="s">
        <v>191</v>
      </c>
      <c r="AU131" s="18" t="s">
        <v>87</v>
      </c>
    </row>
    <row r="132" spans="2:51" s="12" customFormat="1" ht="11.25">
      <c r="B132" s="149"/>
      <c r="D132" s="142" t="s">
        <v>193</v>
      </c>
      <c r="F132" s="151" t="s">
        <v>2344</v>
      </c>
      <c r="H132" s="152">
        <v>16.589</v>
      </c>
      <c r="I132" s="153"/>
      <c r="L132" s="149"/>
      <c r="M132" s="154"/>
      <c r="T132" s="155"/>
      <c r="AT132" s="150" t="s">
        <v>193</v>
      </c>
      <c r="AU132" s="150" t="s">
        <v>87</v>
      </c>
      <c r="AV132" s="12" t="s">
        <v>87</v>
      </c>
      <c r="AW132" s="12" t="s">
        <v>4</v>
      </c>
      <c r="AX132" s="12" t="s">
        <v>85</v>
      </c>
      <c r="AY132" s="150" t="s">
        <v>177</v>
      </c>
    </row>
    <row r="133" spans="2:65" s="1" customFormat="1" ht="16.5" customHeight="1">
      <c r="B133" s="128"/>
      <c r="C133" s="129" t="s">
        <v>241</v>
      </c>
      <c r="D133" s="129" t="s">
        <v>180</v>
      </c>
      <c r="E133" s="130" t="s">
        <v>2345</v>
      </c>
      <c r="F133" s="131" t="s">
        <v>2346</v>
      </c>
      <c r="G133" s="132" t="s">
        <v>806</v>
      </c>
      <c r="H133" s="133">
        <v>9.216</v>
      </c>
      <c r="I133" s="134"/>
      <c r="J133" s="135">
        <f>ROUND(I133*H133,2)</f>
        <v>0</v>
      </c>
      <c r="K133" s="131" t="s">
        <v>184</v>
      </c>
      <c r="L133" s="33"/>
      <c r="M133" s="136" t="s">
        <v>3</v>
      </c>
      <c r="N133" s="137" t="s">
        <v>48</v>
      </c>
      <c r="P133" s="138">
        <f>O133*H133</f>
        <v>0</v>
      </c>
      <c r="Q133" s="138">
        <v>0</v>
      </c>
      <c r="R133" s="138">
        <f>Q133*H133</f>
        <v>0</v>
      </c>
      <c r="S133" s="138">
        <v>0</v>
      </c>
      <c r="T133" s="139">
        <f>S133*H133</f>
        <v>0</v>
      </c>
      <c r="AR133" s="140" t="s">
        <v>185</v>
      </c>
      <c r="AT133" s="140" t="s">
        <v>180</v>
      </c>
      <c r="AU133" s="140" t="s">
        <v>87</v>
      </c>
      <c r="AY133" s="18" t="s">
        <v>177</v>
      </c>
      <c r="BE133" s="141">
        <f>IF(N133="základní",J133,0)</f>
        <v>0</v>
      </c>
      <c r="BF133" s="141">
        <f>IF(N133="snížená",J133,0)</f>
        <v>0</v>
      </c>
      <c r="BG133" s="141">
        <f>IF(N133="zákl. přenesená",J133,0)</f>
        <v>0</v>
      </c>
      <c r="BH133" s="141">
        <f>IF(N133="sníž. přenesená",J133,0)</f>
        <v>0</v>
      </c>
      <c r="BI133" s="141">
        <f>IF(N133="nulová",J133,0)</f>
        <v>0</v>
      </c>
      <c r="BJ133" s="18" t="s">
        <v>85</v>
      </c>
      <c r="BK133" s="141">
        <f>ROUND(I133*H133,2)</f>
        <v>0</v>
      </c>
      <c r="BL133" s="18" t="s">
        <v>185</v>
      </c>
      <c r="BM133" s="140" t="s">
        <v>2347</v>
      </c>
    </row>
    <row r="134" spans="2:47" s="1" customFormat="1" ht="19.5">
      <c r="B134" s="33"/>
      <c r="D134" s="142" t="s">
        <v>187</v>
      </c>
      <c r="F134" s="143" t="s">
        <v>2348</v>
      </c>
      <c r="I134" s="144"/>
      <c r="L134" s="33"/>
      <c r="M134" s="145"/>
      <c r="T134" s="54"/>
      <c r="AT134" s="18" t="s">
        <v>187</v>
      </c>
      <c r="AU134" s="18" t="s">
        <v>87</v>
      </c>
    </row>
    <row r="135" spans="2:47" s="1" customFormat="1" ht="11.25">
      <c r="B135" s="33"/>
      <c r="D135" s="146" t="s">
        <v>189</v>
      </c>
      <c r="F135" s="147" t="s">
        <v>2349</v>
      </c>
      <c r="I135" s="144"/>
      <c r="L135" s="33"/>
      <c r="M135" s="145"/>
      <c r="T135" s="54"/>
      <c r="AT135" s="18" t="s">
        <v>189</v>
      </c>
      <c r="AU135" s="18" t="s">
        <v>87</v>
      </c>
    </row>
    <row r="136" spans="2:47" s="1" customFormat="1" ht="165.75">
      <c r="B136" s="33"/>
      <c r="D136" s="142" t="s">
        <v>191</v>
      </c>
      <c r="F136" s="148" t="s">
        <v>2350</v>
      </c>
      <c r="I136" s="144"/>
      <c r="L136" s="33"/>
      <c r="M136" s="145"/>
      <c r="T136" s="54"/>
      <c r="AT136" s="18" t="s">
        <v>191</v>
      </c>
      <c r="AU136" s="18" t="s">
        <v>87</v>
      </c>
    </row>
    <row r="137" spans="2:63" s="11" customFormat="1" ht="22.9" customHeight="1">
      <c r="B137" s="116"/>
      <c r="D137" s="117" t="s">
        <v>76</v>
      </c>
      <c r="E137" s="126" t="s">
        <v>87</v>
      </c>
      <c r="F137" s="126" t="s">
        <v>549</v>
      </c>
      <c r="I137" s="119"/>
      <c r="J137" s="127">
        <f>BK137</f>
        <v>0</v>
      </c>
      <c r="L137" s="116"/>
      <c r="M137" s="121"/>
      <c r="P137" s="122">
        <f>SUM(P138:P147)</f>
        <v>0</v>
      </c>
      <c r="R137" s="122">
        <f>SUM(R138:R147)</f>
        <v>3.242426376384</v>
      </c>
      <c r="T137" s="123">
        <f>SUM(T138:T147)</f>
        <v>0</v>
      </c>
      <c r="AR137" s="117" t="s">
        <v>85</v>
      </c>
      <c r="AT137" s="124" t="s">
        <v>76</v>
      </c>
      <c r="AU137" s="124" t="s">
        <v>85</v>
      </c>
      <c r="AY137" s="117" t="s">
        <v>177</v>
      </c>
      <c r="BK137" s="125">
        <f>SUM(BK138:BK147)</f>
        <v>0</v>
      </c>
    </row>
    <row r="138" spans="2:65" s="1" customFormat="1" ht="16.5" customHeight="1">
      <c r="B138" s="128"/>
      <c r="C138" s="129" t="s">
        <v>248</v>
      </c>
      <c r="D138" s="129" t="s">
        <v>180</v>
      </c>
      <c r="E138" s="130" t="s">
        <v>2351</v>
      </c>
      <c r="F138" s="131" t="s">
        <v>2352</v>
      </c>
      <c r="G138" s="132" t="s">
        <v>806</v>
      </c>
      <c r="H138" s="133">
        <v>1.152</v>
      </c>
      <c r="I138" s="134"/>
      <c r="J138" s="135">
        <f>ROUND(I138*H138,2)</f>
        <v>0</v>
      </c>
      <c r="K138" s="131" t="s">
        <v>184</v>
      </c>
      <c r="L138" s="33"/>
      <c r="M138" s="136" t="s">
        <v>3</v>
      </c>
      <c r="N138" s="137" t="s">
        <v>48</v>
      </c>
      <c r="P138" s="138">
        <f>O138*H138</f>
        <v>0</v>
      </c>
      <c r="Q138" s="138">
        <v>2.501872204</v>
      </c>
      <c r="R138" s="138">
        <f>Q138*H138</f>
        <v>2.882156779008</v>
      </c>
      <c r="S138" s="138">
        <v>0</v>
      </c>
      <c r="T138" s="139">
        <f>S138*H138</f>
        <v>0</v>
      </c>
      <c r="AR138" s="140" t="s">
        <v>185</v>
      </c>
      <c r="AT138" s="140" t="s">
        <v>180</v>
      </c>
      <c r="AU138" s="140" t="s">
        <v>87</v>
      </c>
      <c r="AY138" s="18" t="s">
        <v>177</v>
      </c>
      <c r="BE138" s="141">
        <f>IF(N138="základní",J138,0)</f>
        <v>0</v>
      </c>
      <c r="BF138" s="141">
        <f>IF(N138="snížená",J138,0)</f>
        <v>0</v>
      </c>
      <c r="BG138" s="141">
        <f>IF(N138="zákl. přenesená",J138,0)</f>
        <v>0</v>
      </c>
      <c r="BH138" s="141">
        <f>IF(N138="sníž. přenesená",J138,0)</f>
        <v>0</v>
      </c>
      <c r="BI138" s="141">
        <f>IF(N138="nulová",J138,0)</f>
        <v>0</v>
      </c>
      <c r="BJ138" s="18" t="s">
        <v>85</v>
      </c>
      <c r="BK138" s="141">
        <f>ROUND(I138*H138,2)</f>
        <v>0</v>
      </c>
      <c r="BL138" s="18" t="s">
        <v>185</v>
      </c>
      <c r="BM138" s="140" t="s">
        <v>2353</v>
      </c>
    </row>
    <row r="139" spans="2:47" s="1" customFormat="1" ht="19.5">
      <c r="B139" s="33"/>
      <c r="D139" s="142" t="s">
        <v>187</v>
      </c>
      <c r="F139" s="143" t="s">
        <v>2354</v>
      </c>
      <c r="I139" s="144"/>
      <c r="L139" s="33"/>
      <c r="M139" s="145"/>
      <c r="T139" s="54"/>
      <c r="AT139" s="18" t="s">
        <v>187</v>
      </c>
      <c r="AU139" s="18" t="s">
        <v>87</v>
      </c>
    </row>
    <row r="140" spans="2:47" s="1" customFormat="1" ht="11.25">
      <c r="B140" s="33"/>
      <c r="D140" s="146" t="s">
        <v>189</v>
      </c>
      <c r="F140" s="147" t="s">
        <v>2355</v>
      </c>
      <c r="I140" s="144"/>
      <c r="L140" s="33"/>
      <c r="M140" s="145"/>
      <c r="T140" s="54"/>
      <c r="AT140" s="18" t="s">
        <v>189</v>
      </c>
      <c r="AU140" s="18" t="s">
        <v>87</v>
      </c>
    </row>
    <row r="141" spans="2:47" s="1" customFormat="1" ht="97.5">
      <c r="B141" s="33"/>
      <c r="D141" s="142" t="s">
        <v>191</v>
      </c>
      <c r="F141" s="148" t="s">
        <v>2356</v>
      </c>
      <c r="I141" s="144"/>
      <c r="L141" s="33"/>
      <c r="M141" s="145"/>
      <c r="T141" s="54"/>
      <c r="AT141" s="18" t="s">
        <v>191</v>
      </c>
      <c r="AU141" s="18" t="s">
        <v>87</v>
      </c>
    </row>
    <row r="142" spans="2:51" s="13" customFormat="1" ht="11.25">
      <c r="B142" s="156"/>
      <c r="D142" s="142" t="s">
        <v>193</v>
      </c>
      <c r="E142" s="157" t="s">
        <v>3</v>
      </c>
      <c r="F142" s="158" t="s">
        <v>2325</v>
      </c>
      <c r="H142" s="157" t="s">
        <v>3</v>
      </c>
      <c r="I142" s="159"/>
      <c r="L142" s="156"/>
      <c r="M142" s="160"/>
      <c r="T142" s="161"/>
      <c r="AT142" s="157" t="s">
        <v>193</v>
      </c>
      <c r="AU142" s="157" t="s">
        <v>87</v>
      </c>
      <c r="AV142" s="13" t="s">
        <v>85</v>
      </c>
      <c r="AW142" s="13" t="s">
        <v>36</v>
      </c>
      <c r="AX142" s="13" t="s">
        <v>77</v>
      </c>
      <c r="AY142" s="157" t="s">
        <v>177</v>
      </c>
    </row>
    <row r="143" spans="2:51" s="12" customFormat="1" ht="11.25">
      <c r="B143" s="149"/>
      <c r="D143" s="142" t="s">
        <v>193</v>
      </c>
      <c r="E143" s="150" t="s">
        <v>3</v>
      </c>
      <c r="F143" s="151" t="s">
        <v>2326</v>
      </c>
      <c r="H143" s="152">
        <v>1.152</v>
      </c>
      <c r="I143" s="153"/>
      <c r="L143" s="149"/>
      <c r="M143" s="154"/>
      <c r="T143" s="155"/>
      <c r="AT143" s="150" t="s">
        <v>193</v>
      </c>
      <c r="AU143" s="150" t="s">
        <v>87</v>
      </c>
      <c r="AV143" s="12" t="s">
        <v>87</v>
      </c>
      <c r="AW143" s="12" t="s">
        <v>36</v>
      </c>
      <c r="AX143" s="12" t="s">
        <v>85</v>
      </c>
      <c r="AY143" s="150" t="s">
        <v>177</v>
      </c>
    </row>
    <row r="144" spans="2:65" s="1" customFormat="1" ht="16.5" customHeight="1">
      <c r="B144" s="128"/>
      <c r="C144" s="129" t="s">
        <v>252</v>
      </c>
      <c r="D144" s="129" t="s">
        <v>180</v>
      </c>
      <c r="E144" s="130" t="s">
        <v>2357</v>
      </c>
      <c r="F144" s="131" t="s">
        <v>2358</v>
      </c>
      <c r="G144" s="132" t="s">
        <v>806</v>
      </c>
      <c r="H144" s="133">
        <v>0.144</v>
      </c>
      <c r="I144" s="134"/>
      <c r="J144" s="135">
        <f>ROUND(I144*H144,2)</f>
        <v>0</v>
      </c>
      <c r="K144" s="131" t="s">
        <v>184</v>
      </c>
      <c r="L144" s="33"/>
      <c r="M144" s="136" t="s">
        <v>3</v>
      </c>
      <c r="N144" s="137" t="s">
        <v>48</v>
      </c>
      <c r="P144" s="138">
        <f>O144*H144</f>
        <v>0</v>
      </c>
      <c r="Q144" s="138">
        <v>2.501872204</v>
      </c>
      <c r="R144" s="138">
        <f>Q144*H144</f>
        <v>0.360269597376</v>
      </c>
      <c r="S144" s="138">
        <v>0</v>
      </c>
      <c r="T144" s="139">
        <f>S144*H144</f>
        <v>0</v>
      </c>
      <c r="AR144" s="140" t="s">
        <v>185</v>
      </c>
      <c r="AT144" s="140" t="s">
        <v>180</v>
      </c>
      <c r="AU144" s="140" t="s">
        <v>87</v>
      </c>
      <c r="AY144" s="18" t="s">
        <v>177</v>
      </c>
      <c r="BE144" s="141">
        <f>IF(N144="základní",J144,0)</f>
        <v>0</v>
      </c>
      <c r="BF144" s="141">
        <f>IF(N144="snížená",J144,0)</f>
        <v>0</v>
      </c>
      <c r="BG144" s="141">
        <f>IF(N144="zákl. přenesená",J144,0)</f>
        <v>0</v>
      </c>
      <c r="BH144" s="141">
        <f>IF(N144="sníž. přenesená",J144,0)</f>
        <v>0</v>
      </c>
      <c r="BI144" s="141">
        <f>IF(N144="nulová",J144,0)</f>
        <v>0</v>
      </c>
      <c r="BJ144" s="18" t="s">
        <v>85</v>
      </c>
      <c r="BK144" s="141">
        <f>ROUND(I144*H144,2)</f>
        <v>0</v>
      </c>
      <c r="BL144" s="18" t="s">
        <v>185</v>
      </c>
      <c r="BM144" s="140" t="s">
        <v>2359</v>
      </c>
    </row>
    <row r="145" spans="2:47" s="1" customFormat="1" ht="19.5">
      <c r="B145" s="33"/>
      <c r="D145" s="142" t="s">
        <v>187</v>
      </c>
      <c r="F145" s="143" t="s">
        <v>2360</v>
      </c>
      <c r="I145" s="144"/>
      <c r="L145" s="33"/>
      <c r="M145" s="145"/>
      <c r="T145" s="54"/>
      <c r="AT145" s="18" t="s">
        <v>187</v>
      </c>
      <c r="AU145" s="18" t="s">
        <v>87</v>
      </c>
    </row>
    <row r="146" spans="2:47" s="1" customFormat="1" ht="11.25">
      <c r="B146" s="33"/>
      <c r="D146" s="146" t="s">
        <v>189</v>
      </c>
      <c r="F146" s="147" t="s">
        <v>2361</v>
      </c>
      <c r="I146" s="144"/>
      <c r="L146" s="33"/>
      <c r="M146" s="145"/>
      <c r="T146" s="54"/>
      <c r="AT146" s="18" t="s">
        <v>189</v>
      </c>
      <c r="AU146" s="18" t="s">
        <v>87</v>
      </c>
    </row>
    <row r="147" spans="2:47" s="1" customFormat="1" ht="97.5">
      <c r="B147" s="33"/>
      <c r="D147" s="142" t="s">
        <v>191</v>
      </c>
      <c r="F147" s="148" t="s">
        <v>2356</v>
      </c>
      <c r="I147" s="144"/>
      <c r="L147" s="33"/>
      <c r="M147" s="145"/>
      <c r="T147" s="54"/>
      <c r="AT147" s="18" t="s">
        <v>191</v>
      </c>
      <c r="AU147" s="18" t="s">
        <v>87</v>
      </c>
    </row>
    <row r="148" spans="2:63" s="11" customFormat="1" ht="22.9" customHeight="1">
      <c r="B148" s="116"/>
      <c r="D148" s="117" t="s">
        <v>76</v>
      </c>
      <c r="E148" s="126" t="s">
        <v>198</v>
      </c>
      <c r="F148" s="126" t="s">
        <v>559</v>
      </c>
      <c r="I148" s="119"/>
      <c r="J148" s="127">
        <f>BK148</f>
        <v>0</v>
      </c>
      <c r="L148" s="116"/>
      <c r="M148" s="121"/>
      <c r="P148" s="122">
        <f>SUM(P149:P153)</f>
        <v>0</v>
      </c>
      <c r="R148" s="122">
        <f>SUM(R149:R153)</f>
        <v>1.9327795199999998</v>
      </c>
      <c r="T148" s="123">
        <f>SUM(T149:T153)</f>
        <v>0</v>
      </c>
      <c r="AR148" s="117" t="s">
        <v>85</v>
      </c>
      <c r="AT148" s="124" t="s">
        <v>76</v>
      </c>
      <c r="AU148" s="124" t="s">
        <v>85</v>
      </c>
      <c r="AY148" s="117" t="s">
        <v>177</v>
      </c>
      <c r="BK148" s="125">
        <f>SUM(BK149:BK153)</f>
        <v>0</v>
      </c>
    </row>
    <row r="149" spans="2:65" s="1" customFormat="1" ht="24.2" customHeight="1">
      <c r="B149" s="128"/>
      <c r="C149" s="129" t="s">
        <v>258</v>
      </c>
      <c r="D149" s="129" t="s">
        <v>180</v>
      </c>
      <c r="E149" s="130" t="s">
        <v>2362</v>
      </c>
      <c r="F149" s="131" t="s">
        <v>2363</v>
      </c>
      <c r="G149" s="132" t="s">
        <v>332</v>
      </c>
      <c r="H149" s="133">
        <v>3.36</v>
      </c>
      <c r="I149" s="134"/>
      <c r="J149" s="135">
        <f>ROUND(I149*H149,2)</f>
        <v>0</v>
      </c>
      <c r="K149" s="131" t="s">
        <v>184</v>
      </c>
      <c r="L149" s="33"/>
      <c r="M149" s="136" t="s">
        <v>3</v>
      </c>
      <c r="N149" s="137" t="s">
        <v>48</v>
      </c>
      <c r="P149" s="138">
        <f>O149*H149</f>
        <v>0</v>
      </c>
      <c r="Q149" s="138">
        <v>0.575232</v>
      </c>
      <c r="R149" s="138">
        <f>Q149*H149</f>
        <v>1.9327795199999998</v>
      </c>
      <c r="S149" s="138">
        <v>0</v>
      </c>
      <c r="T149" s="139">
        <f>S149*H149</f>
        <v>0</v>
      </c>
      <c r="AR149" s="140" t="s">
        <v>185</v>
      </c>
      <c r="AT149" s="140" t="s">
        <v>180</v>
      </c>
      <c r="AU149" s="140" t="s">
        <v>87</v>
      </c>
      <c r="AY149" s="18" t="s">
        <v>177</v>
      </c>
      <c r="BE149" s="141">
        <f>IF(N149="základní",J149,0)</f>
        <v>0</v>
      </c>
      <c r="BF149" s="141">
        <f>IF(N149="snížená",J149,0)</f>
        <v>0</v>
      </c>
      <c r="BG149" s="141">
        <f>IF(N149="zákl. přenesená",J149,0)</f>
        <v>0</v>
      </c>
      <c r="BH149" s="141">
        <f>IF(N149="sníž. přenesená",J149,0)</f>
        <v>0</v>
      </c>
      <c r="BI149" s="141">
        <f>IF(N149="nulová",J149,0)</f>
        <v>0</v>
      </c>
      <c r="BJ149" s="18" t="s">
        <v>85</v>
      </c>
      <c r="BK149" s="141">
        <f>ROUND(I149*H149,2)</f>
        <v>0</v>
      </c>
      <c r="BL149" s="18" t="s">
        <v>185</v>
      </c>
      <c r="BM149" s="140" t="s">
        <v>2364</v>
      </c>
    </row>
    <row r="150" spans="2:47" s="1" customFormat="1" ht="29.25">
      <c r="B150" s="33"/>
      <c r="D150" s="142" t="s">
        <v>187</v>
      </c>
      <c r="F150" s="143" t="s">
        <v>2365</v>
      </c>
      <c r="I150" s="144"/>
      <c r="L150" s="33"/>
      <c r="M150" s="145"/>
      <c r="T150" s="54"/>
      <c r="AT150" s="18" t="s">
        <v>187</v>
      </c>
      <c r="AU150" s="18" t="s">
        <v>87</v>
      </c>
    </row>
    <row r="151" spans="2:47" s="1" customFormat="1" ht="11.25">
      <c r="B151" s="33"/>
      <c r="D151" s="146" t="s">
        <v>189</v>
      </c>
      <c r="F151" s="147" t="s">
        <v>2366</v>
      </c>
      <c r="I151" s="144"/>
      <c r="L151" s="33"/>
      <c r="M151" s="145"/>
      <c r="T151" s="54"/>
      <c r="AT151" s="18" t="s">
        <v>189</v>
      </c>
      <c r="AU151" s="18" t="s">
        <v>87</v>
      </c>
    </row>
    <row r="152" spans="2:51" s="13" customFormat="1" ht="11.25">
      <c r="B152" s="156"/>
      <c r="D152" s="142" t="s">
        <v>193</v>
      </c>
      <c r="E152" s="157" t="s">
        <v>3</v>
      </c>
      <c r="F152" s="158" t="s">
        <v>2325</v>
      </c>
      <c r="H152" s="157" t="s">
        <v>3</v>
      </c>
      <c r="I152" s="159"/>
      <c r="L152" s="156"/>
      <c r="M152" s="160"/>
      <c r="T152" s="161"/>
      <c r="AT152" s="157" t="s">
        <v>193</v>
      </c>
      <c r="AU152" s="157" t="s">
        <v>87</v>
      </c>
      <c r="AV152" s="13" t="s">
        <v>85</v>
      </c>
      <c r="AW152" s="13" t="s">
        <v>36</v>
      </c>
      <c r="AX152" s="13" t="s">
        <v>77</v>
      </c>
      <c r="AY152" s="157" t="s">
        <v>177</v>
      </c>
    </row>
    <row r="153" spans="2:51" s="12" customFormat="1" ht="11.25">
      <c r="B153" s="149"/>
      <c r="D153" s="142" t="s">
        <v>193</v>
      </c>
      <c r="E153" s="150" t="s">
        <v>3</v>
      </c>
      <c r="F153" s="151" t="s">
        <v>2367</v>
      </c>
      <c r="H153" s="152">
        <v>3.36</v>
      </c>
      <c r="I153" s="153"/>
      <c r="L153" s="149"/>
      <c r="M153" s="154"/>
      <c r="T153" s="155"/>
      <c r="AT153" s="150" t="s">
        <v>193</v>
      </c>
      <c r="AU153" s="150" t="s">
        <v>87</v>
      </c>
      <c r="AV153" s="12" t="s">
        <v>87</v>
      </c>
      <c r="AW153" s="12" t="s">
        <v>36</v>
      </c>
      <c r="AX153" s="12" t="s">
        <v>85</v>
      </c>
      <c r="AY153" s="150" t="s">
        <v>177</v>
      </c>
    </row>
    <row r="154" spans="2:63" s="11" customFormat="1" ht="22.9" customHeight="1">
      <c r="B154" s="116"/>
      <c r="D154" s="117" t="s">
        <v>76</v>
      </c>
      <c r="E154" s="126" t="s">
        <v>185</v>
      </c>
      <c r="F154" s="126" t="s">
        <v>1575</v>
      </c>
      <c r="I154" s="119"/>
      <c r="J154" s="127">
        <f>BK154</f>
        <v>0</v>
      </c>
      <c r="L154" s="116"/>
      <c r="M154" s="121"/>
      <c r="P154" s="122">
        <f>P155</f>
        <v>0</v>
      </c>
      <c r="R154" s="122">
        <f>R155</f>
        <v>4.1794704646217005</v>
      </c>
      <c r="T154" s="123">
        <f>T155</f>
        <v>0</v>
      </c>
      <c r="AR154" s="117" t="s">
        <v>85</v>
      </c>
      <c r="AT154" s="124" t="s">
        <v>76</v>
      </c>
      <c r="AU154" s="124" t="s">
        <v>85</v>
      </c>
      <c r="AY154" s="117" t="s">
        <v>177</v>
      </c>
      <c r="BK154" s="125">
        <f>BK155</f>
        <v>0</v>
      </c>
    </row>
    <row r="155" spans="2:63" s="11" customFormat="1" ht="20.85" customHeight="1">
      <c r="B155" s="116"/>
      <c r="D155" s="117" t="s">
        <v>76</v>
      </c>
      <c r="E155" s="126" t="s">
        <v>1130</v>
      </c>
      <c r="F155" s="126" t="s">
        <v>1952</v>
      </c>
      <c r="I155" s="119"/>
      <c r="J155" s="127">
        <f>BK155</f>
        <v>0</v>
      </c>
      <c r="L155" s="116"/>
      <c r="M155" s="121"/>
      <c r="P155" s="122">
        <f>SUM(P156:P182)</f>
        <v>0</v>
      </c>
      <c r="R155" s="122">
        <f>SUM(R156:R182)</f>
        <v>4.1794704646217005</v>
      </c>
      <c r="T155" s="123">
        <f>SUM(T156:T182)</f>
        <v>0</v>
      </c>
      <c r="AR155" s="117" t="s">
        <v>85</v>
      </c>
      <c r="AT155" s="124" t="s">
        <v>76</v>
      </c>
      <c r="AU155" s="124" t="s">
        <v>87</v>
      </c>
      <c r="AY155" s="117" t="s">
        <v>177</v>
      </c>
      <c r="BK155" s="125">
        <f>SUM(BK156:BK182)</f>
        <v>0</v>
      </c>
    </row>
    <row r="156" spans="2:65" s="1" customFormat="1" ht="21.75" customHeight="1">
      <c r="B156" s="128"/>
      <c r="C156" s="129" t="s">
        <v>265</v>
      </c>
      <c r="D156" s="129" t="s">
        <v>180</v>
      </c>
      <c r="E156" s="130" t="s">
        <v>1953</v>
      </c>
      <c r="F156" s="131" t="s">
        <v>1954</v>
      </c>
      <c r="G156" s="132" t="s">
        <v>806</v>
      </c>
      <c r="H156" s="133">
        <v>1.579</v>
      </c>
      <c r="I156" s="134"/>
      <c r="J156" s="135">
        <f>ROUND(I156*H156,2)</f>
        <v>0</v>
      </c>
      <c r="K156" s="131" t="s">
        <v>184</v>
      </c>
      <c r="L156" s="33"/>
      <c r="M156" s="136" t="s">
        <v>3</v>
      </c>
      <c r="N156" s="137" t="s">
        <v>48</v>
      </c>
      <c r="P156" s="138">
        <f>O156*H156</f>
        <v>0</v>
      </c>
      <c r="Q156" s="138">
        <v>2.50194574</v>
      </c>
      <c r="R156" s="138">
        <f>Q156*H156</f>
        <v>3.95057232346</v>
      </c>
      <c r="S156" s="138">
        <v>0</v>
      </c>
      <c r="T156" s="139">
        <f>S156*H156</f>
        <v>0</v>
      </c>
      <c r="AR156" s="140" t="s">
        <v>185</v>
      </c>
      <c r="AT156" s="140" t="s">
        <v>180</v>
      </c>
      <c r="AU156" s="140" t="s">
        <v>198</v>
      </c>
      <c r="AY156" s="18" t="s">
        <v>177</v>
      </c>
      <c r="BE156" s="141">
        <f>IF(N156="základní",J156,0)</f>
        <v>0</v>
      </c>
      <c r="BF156" s="141">
        <f>IF(N156="snížená",J156,0)</f>
        <v>0</v>
      </c>
      <c r="BG156" s="141">
        <f>IF(N156="zákl. přenesená",J156,0)</f>
        <v>0</v>
      </c>
      <c r="BH156" s="141">
        <f>IF(N156="sníž. přenesená",J156,0)</f>
        <v>0</v>
      </c>
      <c r="BI156" s="141">
        <f>IF(N156="nulová",J156,0)</f>
        <v>0</v>
      </c>
      <c r="BJ156" s="18" t="s">
        <v>85</v>
      </c>
      <c r="BK156" s="141">
        <f>ROUND(I156*H156,2)</f>
        <v>0</v>
      </c>
      <c r="BL156" s="18" t="s">
        <v>185</v>
      </c>
      <c r="BM156" s="140" t="s">
        <v>2368</v>
      </c>
    </row>
    <row r="157" spans="2:47" s="1" customFormat="1" ht="19.5">
      <c r="B157" s="33"/>
      <c r="D157" s="142" t="s">
        <v>187</v>
      </c>
      <c r="F157" s="143" t="s">
        <v>1956</v>
      </c>
      <c r="I157" s="144"/>
      <c r="L157" s="33"/>
      <c r="M157" s="145"/>
      <c r="T157" s="54"/>
      <c r="AT157" s="18" t="s">
        <v>187</v>
      </c>
      <c r="AU157" s="18" t="s">
        <v>198</v>
      </c>
    </row>
    <row r="158" spans="2:47" s="1" customFormat="1" ht="11.25">
      <c r="B158" s="33"/>
      <c r="D158" s="146" t="s">
        <v>189</v>
      </c>
      <c r="F158" s="147" t="s">
        <v>1957</v>
      </c>
      <c r="I158" s="144"/>
      <c r="L158" s="33"/>
      <c r="M158" s="145"/>
      <c r="T158" s="54"/>
      <c r="AT158" s="18" t="s">
        <v>189</v>
      </c>
      <c r="AU158" s="18" t="s">
        <v>198</v>
      </c>
    </row>
    <row r="159" spans="2:51" s="13" customFormat="1" ht="11.25">
      <c r="B159" s="156"/>
      <c r="D159" s="142" t="s">
        <v>193</v>
      </c>
      <c r="E159" s="157" t="s">
        <v>3</v>
      </c>
      <c r="F159" s="158" t="s">
        <v>2325</v>
      </c>
      <c r="H159" s="157" t="s">
        <v>3</v>
      </c>
      <c r="I159" s="159"/>
      <c r="L159" s="156"/>
      <c r="M159" s="160"/>
      <c r="T159" s="161"/>
      <c r="AT159" s="157" t="s">
        <v>193</v>
      </c>
      <c r="AU159" s="157" t="s">
        <v>198</v>
      </c>
      <c r="AV159" s="13" t="s">
        <v>85</v>
      </c>
      <c r="AW159" s="13" t="s">
        <v>36</v>
      </c>
      <c r="AX159" s="13" t="s">
        <v>77</v>
      </c>
      <c r="AY159" s="157" t="s">
        <v>177</v>
      </c>
    </row>
    <row r="160" spans="2:51" s="12" customFormat="1" ht="11.25">
      <c r="B160" s="149"/>
      <c r="D160" s="142" t="s">
        <v>193</v>
      </c>
      <c r="E160" s="150" t="s">
        <v>3</v>
      </c>
      <c r="F160" s="151" t="s">
        <v>2369</v>
      </c>
      <c r="H160" s="152">
        <v>1.075</v>
      </c>
      <c r="I160" s="153"/>
      <c r="L160" s="149"/>
      <c r="M160" s="154"/>
      <c r="T160" s="155"/>
      <c r="AT160" s="150" t="s">
        <v>193</v>
      </c>
      <c r="AU160" s="150" t="s">
        <v>198</v>
      </c>
      <c r="AV160" s="12" t="s">
        <v>87</v>
      </c>
      <c r="AW160" s="12" t="s">
        <v>36</v>
      </c>
      <c r="AX160" s="12" t="s">
        <v>77</v>
      </c>
      <c r="AY160" s="150" t="s">
        <v>177</v>
      </c>
    </row>
    <row r="161" spans="2:51" s="12" customFormat="1" ht="11.25">
      <c r="B161" s="149"/>
      <c r="D161" s="142" t="s">
        <v>193</v>
      </c>
      <c r="E161" s="150" t="s">
        <v>3</v>
      </c>
      <c r="F161" s="151" t="s">
        <v>2370</v>
      </c>
      <c r="H161" s="152">
        <v>0.504</v>
      </c>
      <c r="I161" s="153"/>
      <c r="L161" s="149"/>
      <c r="M161" s="154"/>
      <c r="T161" s="155"/>
      <c r="AT161" s="150" t="s">
        <v>193</v>
      </c>
      <c r="AU161" s="150" t="s">
        <v>198</v>
      </c>
      <c r="AV161" s="12" t="s">
        <v>87</v>
      </c>
      <c r="AW161" s="12" t="s">
        <v>36</v>
      </c>
      <c r="AX161" s="12" t="s">
        <v>77</v>
      </c>
      <c r="AY161" s="150" t="s">
        <v>177</v>
      </c>
    </row>
    <row r="162" spans="2:51" s="15" customFormat="1" ht="11.25">
      <c r="B162" s="169"/>
      <c r="D162" s="142" t="s">
        <v>193</v>
      </c>
      <c r="E162" s="170" t="s">
        <v>3</v>
      </c>
      <c r="F162" s="171" t="s">
        <v>201</v>
      </c>
      <c r="H162" s="172">
        <v>1.579</v>
      </c>
      <c r="I162" s="173"/>
      <c r="L162" s="169"/>
      <c r="M162" s="174"/>
      <c r="T162" s="175"/>
      <c r="AT162" s="170" t="s">
        <v>193</v>
      </c>
      <c r="AU162" s="170" t="s">
        <v>198</v>
      </c>
      <c r="AV162" s="15" t="s">
        <v>185</v>
      </c>
      <c r="AW162" s="15" t="s">
        <v>36</v>
      </c>
      <c r="AX162" s="15" t="s">
        <v>85</v>
      </c>
      <c r="AY162" s="170" t="s">
        <v>177</v>
      </c>
    </row>
    <row r="163" spans="2:65" s="1" customFormat="1" ht="24.2" customHeight="1">
      <c r="B163" s="128"/>
      <c r="C163" s="129" t="s">
        <v>271</v>
      </c>
      <c r="D163" s="129" t="s">
        <v>180</v>
      </c>
      <c r="E163" s="130" t="s">
        <v>1967</v>
      </c>
      <c r="F163" s="131" t="s">
        <v>1968</v>
      </c>
      <c r="G163" s="132" t="s">
        <v>183</v>
      </c>
      <c r="H163" s="133">
        <v>0.061</v>
      </c>
      <c r="I163" s="134"/>
      <c r="J163" s="135">
        <f>ROUND(I163*H163,2)</f>
        <v>0</v>
      </c>
      <c r="K163" s="131" t="s">
        <v>184</v>
      </c>
      <c r="L163" s="33"/>
      <c r="M163" s="136" t="s">
        <v>3</v>
      </c>
      <c r="N163" s="137" t="s">
        <v>48</v>
      </c>
      <c r="P163" s="138">
        <f>O163*H163</f>
        <v>0</v>
      </c>
      <c r="Q163" s="138">
        <v>1.0627727797</v>
      </c>
      <c r="R163" s="138">
        <f>Q163*H163</f>
        <v>0.0648291395617</v>
      </c>
      <c r="S163" s="138">
        <v>0</v>
      </c>
      <c r="T163" s="139">
        <f>S163*H163</f>
        <v>0</v>
      </c>
      <c r="AR163" s="140" t="s">
        <v>185</v>
      </c>
      <c r="AT163" s="140" t="s">
        <v>180</v>
      </c>
      <c r="AU163" s="140" t="s">
        <v>198</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2371</v>
      </c>
    </row>
    <row r="164" spans="2:47" s="1" customFormat="1" ht="19.5">
      <c r="B164" s="33"/>
      <c r="D164" s="142" t="s">
        <v>187</v>
      </c>
      <c r="F164" s="143" t="s">
        <v>1970</v>
      </c>
      <c r="I164" s="144"/>
      <c r="L164" s="33"/>
      <c r="M164" s="145"/>
      <c r="T164" s="54"/>
      <c r="AT164" s="18" t="s">
        <v>187</v>
      </c>
      <c r="AU164" s="18" t="s">
        <v>198</v>
      </c>
    </row>
    <row r="165" spans="2:47" s="1" customFormat="1" ht="11.25">
      <c r="B165" s="33"/>
      <c r="D165" s="146" t="s">
        <v>189</v>
      </c>
      <c r="F165" s="147" t="s">
        <v>1971</v>
      </c>
      <c r="I165" s="144"/>
      <c r="L165" s="33"/>
      <c r="M165" s="145"/>
      <c r="T165" s="54"/>
      <c r="AT165" s="18" t="s">
        <v>189</v>
      </c>
      <c r="AU165" s="18" t="s">
        <v>198</v>
      </c>
    </row>
    <row r="166" spans="2:51" s="13" customFormat="1" ht="11.25">
      <c r="B166" s="156"/>
      <c r="D166" s="142" t="s">
        <v>193</v>
      </c>
      <c r="E166" s="157" t="s">
        <v>3</v>
      </c>
      <c r="F166" s="158" t="s">
        <v>2372</v>
      </c>
      <c r="H166" s="157" t="s">
        <v>3</v>
      </c>
      <c r="I166" s="159"/>
      <c r="L166" s="156"/>
      <c r="M166" s="160"/>
      <c r="T166" s="161"/>
      <c r="AT166" s="157" t="s">
        <v>193</v>
      </c>
      <c r="AU166" s="157" t="s">
        <v>198</v>
      </c>
      <c r="AV166" s="13" t="s">
        <v>85</v>
      </c>
      <c r="AW166" s="13" t="s">
        <v>36</v>
      </c>
      <c r="AX166" s="13" t="s">
        <v>77</v>
      </c>
      <c r="AY166" s="157" t="s">
        <v>177</v>
      </c>
    </row>
    <row r="167" spans="2:51" s="12" customFormat="1" ht="11.25">
      <c r="B167" s="149"/>
      <c r="D167" s="142" t="s">
        <v>193</v>
      </c>
      <c r="E167" s="150" t="s">
        <v>3</v>
      </c>
      <c r="F167" s="151" t="s">
        <v>2373</v>
      </c>
      <c r="H167" s="152">
        <v>0.061</v>
      </c>
      <c r="I167" s="153"/>
      <c r="L167" s="149"/>
      <c r="M167" s="154"/>
      <c r="T167" s="155"/>
      <c r="AT167" s="150" t="s">
        <v>193</v>
      </c>
      <c r="AU167" s="150" t="s">
        <v>198</v>
      </c>
      <c r="AV167" s="12" t="s">
        <v>87</v>
      </c>
      <c r="AW167" s="12" t="s">
        <v>36</v>
      </c>
      <c r="AX167" s="12" t="s">
        <v>85</v>
      </c>
      <c r="AY167" s="150" t="s">
        <v>177</v>
      </c>
    </row>
    <row r="168" spans="2:65" s="1" customFormat="1" ht="24.2" customHeight="1">
      <c r="B168" s="128"/>
      <c r="C168" s="129" t="s">
        <v>277</v>
      </c>
      <c r="D168" s="129" t="s">
        <v>180</v>
      </c>
      <c r="E168" s="130" t="s">
        <v>1973</v>
      </c>
      <c r="F168" s="131" t="s">
        <v>1974</v>
      </c>
      <c r="G168" s="132" t="s">
        <v>332</v>
      </c>
      <c r="H168" s="133">
        <v>10</v>
      </c>
      <c r="I168" s="134"/>
      <c r="J168" s="135">
        <f>ROUND(I168*H168,2)</f>
        <v>0</v>
      </c>
      <c r="K168" s="131" t="s">
        <v>184</v>
      </c>
      <c r="L168" s="33"/>
      <c r="M168" s="136" t="s">
        <v>3</v>
      </c>
      <c r="N168" s="137" t="s">
        <v>48</v>
      </c>
      <c r="P168" s="138">
        <f>O168*H168</f>
        <v>0</v>
      </c>
      <c r="Q168" s="138">
        <v>0.012824856</v>
      </c>
      <c r="R168" s="138">
        <f>Q168*H168</f>
        <v>0.12824856</v>
      </c>
      <c r="S168" s="138">
        <v>0</v>
      </c>
      <c r="T168" s="139">
        <f>S168*H168</f>
        <v>0</v>
      </c>
      <c r="AR168" s="140" t="s">
        <v>185</v>
      </c>
      <c r="AT168" s="140" t="s">
        <v>180</v>
      </c>
      <c r="AU168" s="140" t="s">
        <v>198</v>
      </c>
      <c r="AY168" s="18" t="s">
        <v>177</v>
      </c>
      <c r="BE168" s="141">
        <f>IF(N168="základní",J168,0)</f>
        <v>0</v>
      </c>
      <c r="BF168" s="141">
        <f>IF(N168="snížená",J168,0)</f>
        <v>0</v>
      </c>
      <c r="BG168" s="141">
        <f>IF(N168="zákl. přenesená",J168,0)</f>
        <v>0</v>
      </c>
      <c r="BH168" s="141">
        <f>IF(N168="sníž. přenesená",J168,0)</f>
        <v>0</v>
      </c>
      <c r="BI168" s="141">
        <f>IF(N168="nulová",J168,0)</f>
        <v>0</v>
      </c>
      <c r="BJ168" s="18" t="s">
        <v>85</v>
      </c>
      <c r="BK168" s="141">
        <f>ROUND(I168*H168,2)</f>
        <v>0</v>
      </c>
      <c r="BL168" s="18" t="s">
        <v>185</v>
      </c>
      <c r="BM168" s="140" t="s">
        <v>2374</v>
      </c>
    </row>
    <row r="169" spans="2:47" s="1" customFormat="1" ht="19.5">
      <c r="B169" s="33"/>
      <c r="D169" s="142" t="s">
        <v>187</v>
      </c>
      <c r="F169" s="143" t="s">
        <v>1976</v>
      </c>
      <c r="I169" s="144"/>
      <c r="L169" s="33"/>
      <c r="M169" s="145"/>
      <c r="T169" s="54"/>
      <c r="AT169" s="18" t="s">
        <v>187</v>
      </c>
      <c r="AU169" s="18" t="s">
        <v>198</v>
      </c>
    </row>
    <row r="170" spans="2:47" s="1" customFormat="1" ht="11.25">
      <c r="B170" s="33"/>
      <c r="D170" s="146" t="s">
        <v>189</v>
      </c>
      <c r="F170" s="147" t="s">
        <v>1977</v>
      </c>
      <c r="I170" s="144"/>
      <c r="L170" s="33"/>
      <c r="M170" s="145"/>
      <c r="T170" s="54"/>
      <c r="AT170" s="18" t="s">
        <v>189</v>
      </c>
      <c r="AU170" s="18" t="s">
        <v>198</v>
      </c>
    </row>
    <row r="171" spans="2:65" s="1" customFormat="1" ht="24.2" customHeight="1">
      <c r="B171" s="128"/>
      <c r="C171" s="129" t="s">
        <v>283</v>
      </c>
      <c r="D171" s="129" t="s">
        <v>180</v>
      </c>
      <c r="E171" s="130" t="s">
        <v>1981</v>
      </c>
      <c r="F171" s="131" t="s">
        <v>1982</v>
      </c>
      <c r="G171" s="132" t="s">
        <v>332</v>
      </c>
      <c r="H171" s="133">
        <v>10</v>
      </c>
      <c r="I171" s="134"/>
      <c r="J171" s="135">
        <f>ROUND(I171*H171,2)</f>
        <v>0</v>
      </c>
      <c r="K171" s="131" t="s">
        <v>184</v>
      </c>
      <c r="L171" s="33"/>
      <c r="M171" s="136" t="s">
        <v>3</v>
      </c>
      <c r="N171" s="137" t="s">
        <v>48</v>
      </c>
      <c r="P171" s="138">
        <f>O171*H171</f>
        <v>0</v>
      </c>
      <c r="Q171" s="138">
        <v>0</v>
      </c>
      <c r="R171" s="138">
        <f>Q171*H171</f>
        <v>0</v>
      </c>
      <c r="S171" s="138">
        <v>0</v>
      </c>
      <c r="T171" s="139">
        <f>S171*H171</f>
        <v>0</v>
      </c>
      <c r="AR171" s="140" t="s">
        <v>185</v>
      </c>
      <c r="AT171" s="140" t="s">
        <v>180</v>
      </c>
      <c r="AU171" s="140" t="s">
        <v>198</v>
      </c>
      <c r="AY171" s="18" t="s">
        <v>177</v>
      </c>
      <c r="BE171" s="141">
        <f>IF(N171="základní",J171,0)</f>
        <v>0</v>
      </c>
      <c r="BF171" s="141">
        <f>IF(N171="snížená",J171,0)</f>
        <v>0</v>
      </c>
      <c r="BG171" s="141">
        <f>IF(N171="zákl. přenesená",J171,0)</f>
        <v>0</v>
      </c>
      <c r="BH171" s="141">
        <f>IF(N171="sníž. přenesená",J171,0)</f>
        <v>0</v>
      </c>
      <c r="BI171" s="141">
        <f>IF(N171="nulová",J171,0)</f>
        <v>0</v>
      </c>
      <c r="BJ171" s="18" t="s">
        <v>85</v>
      </c>
      <c r="BK171" s="141">
        <f>ROUND(I171*H171,2)</f>
        <v>0</v>
      </c>
      <c r="BL171" s="18" t="s">
        <v>185</v>
      </c>
      <c r="BM171" s="140" t="s">
        <v>2375</v>
      </c>
    </row>
    <row r="172" spans="2:47" s="1" customFormat="1" ht="19.5">
      <c r="B172" s="33"/>
      <c r="D172" s="142" t="s">
        <v>187</v>
      </c>
      <c r="F172" s="143" t="s">
        <v>1984</v>
      </c>
      <c r="I172" s="144"/>
      <c r="L172" s="33"/>
      <c r="M172" s="145"/>
      <c r="T172" s="54"/>
      <c r="AT172" s="18" t="s">
        <v>187</v>
      </c>
      <c r="AU172" s="18" t="s">
        <v>198</v>
      </c>
    </row>
    <row r="173" spans="2:47" s="1" customFormat="1" ht="11.25">
      <c r="B173" s="33"/>
      <c r="D173" s="146" t="s">
        <v>189</v>
      </c>
      <c r="F173" s="147" t="s">
        <v>1985</v>
      </c>
      <c r="I173" s="144"/>
      <c r="L173" s="33"/>
      <c r="M173" s="145"/>
      <c r="T173" s="54"/>
      <c r="AT173" s="18" t="s">
        <v>189</v>
      </c>
      <c r="AU173" s="18" t="s">
        <v>198</v>
      </c>
    </row>
    <row r="174" spans="2:65" s="1" customFormat="1" ht="16.5" customHeight="1">
      <c r="B174" s="128"/>
      <c r="C174" s="129" t="s">
        <v>9</v>
      </c>
      <c r="D174" s="129" t="s">
        <v>180</v>
      </c>
      <c r="E174" s="130" t="s">
        <v>1996</v>
      </c>
      <c r="F174" s="131" t="s">
        <v>1997</v>
      </c>
      <c r="G174" s="132" t="s">
        <v>332</v>
      </c>
      <c r="H174" s="133">
        <v>5.44</v>
      </c>
      <c r="I174" s="134"/>
      <c r="J174" s="135">
        <f>ROUND(I174*H174,2)</f>
        <v>0</v>
      </c>
      <c r="K174" s="131" t="s">
        <v>184</v>
      </c>
      <c r="L174" s="33"/>
      <c r="M174" s="136" t="s">
        <v>3</v>
      </c>
      <c r="N174" s="137" t="s">
        <v>48</v>
      </c>
      <c r="P174" s="138">
        <f>O174*H174</f>
        <v>0</v>
      </c>
      <c r="Q174" s="138">
        <v>0.00658464</v>
      </c>
      <c r="R174" s="138">
        <f>Q174*H174</f>
        <v>0.0358204416</v>
      </c>
      <c r="S174" s="138">
        <v>0</v>
      </c>
      <c r="T174" s="139">
        <f>S174*H174</f>
        <v>0</v>
      </c>
      <c r="AR174" s="140" t="s">
        <v>185</v>
      </c>
      <c r="AT174" s="140" t="s">
        <v>180</v>
      </c>
      <c r="AU174" s="140" t="s">
        <v>198</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2376</v>
      </c>
    </row>
    <row r="175" spans="2:47" s="1" customFormat="1" ht="19.5">
      <c r="B175" s="33"/>
      <c r="D175" s="142" t="s">
        <v>187</v>
      </c>
      <c r="F175" s="143" t="s">
        <v>1999</v>
      </c>
      <c r="I175" s="144"/>
      <c r="L175" s="33"/>
      <c r="M175" s="145"/>
      <c r="T175" s="54"/>
      <c r="AT175" s="18" t="s">
        <v>187</v>
      </c>
      <c r="AU175" s="18" t="s">
        <v>198</v>
      </c>
    </row>
    <row r="176" spans="2:47" s="1" customFormat="1" ht="11.25">
      <c r="B176" s="33"/>
      <c r="D176" s="146" t="s">
        <v>189</v>
      </c>
      <c r="F176" s="147" t="s">
        <v>2000</v>
      </c>
      <c r="I176" s="144"/>
      <c r="L176" s="33"/>
      <c r="M176" s="145"/>
      <c r="T176" s="54"/>
      <c r="AT176" s="18" t="s">
        <v>189</v>
      </c>
      <c r="AU176" s="18" t="s">
        <v>198</v>
      </c>
    </row>
    <row r="177" spans="2:47" s="1" customFormat="1" ht="39">
      <c r="B177" s="33"/>
      <c r="D177" s="142" t="s">
        <v>191</v>
      </c>
      <c r="F177" s="148" t="s">
        <v>2001</v>
      </c>
      <c r="I177" s="144"/>
      <c r="L177" s="33"/>
      <c r="M177" s="145"/>
      <c r="T177" s="54"/>
      <c r="AT177" s="18" t="s">
        <v>191</v>
      </c>
      <c r="AU177" s="18" t="s">
        <v>198</v>
      </c>
    </row>
    <row r="178" spans="2:51" s="12" customFormat="1" ht="11.25">
      <c r="B178" s="149"/>
      <c r="D178" s="142" t="s">
        <v>193</v>
      </c>
      <c r="E178" s="150" t="s">
        <v>3</v>
      </c>
      <c r="F178" s="151" t="s">
        <v>2377</v>
      </c>
      <c r="H178" s="152">
        <v>5.44</v>
      </c>
      <c r="I178" s="153"/>
      <c r="L178" s="149"/>
      <c r="M178" s="154"/>
      <c r="T178" s="155"/>
      <c r="AT178" s="150" t="s">
        <v>193</v>
      </c>
      <c r="AU178" s="150" t="s">
        <v>198</v>
      </c>
      <c r="AV178" s="12" t="s">
        <v>87</v>
      </c>
      <c r="AW178" s="12" t="s">
        <v>36</v>
      </c>
      <c r="AX178" s="12" t="s">
        <v>85</v>
      </c>
      <c r="AY178" s="150" t="s">
        <v>177</v>
      </c>
    </row>
    <row r="179" spans="2:65" s="1" customFormat="1" ht="16.5" customHeight="1">
      <c r="B179" s="128"/>
      <c r="C179" s="129" t="s">
        <v>237</v>
      </c>
      <c r="D179" s="129" t="s">
        <v>180</v>
      </c>
      <c r="E179" s="130" t="s">
        <v>2003</v>
      </c>
      <c r="F179" s="131" t="s">
        <v>2004</v>
      </c>
      <c r="G179" s="132" t="s">
        <v>332</v>
      </c>
      <c r="H179" s="133">
        <v>5.44</v>
      </c>
      <c r="I179" s="134"/>
      <c r="J179" s="135">
        <f>ROUND(I179*H179,2)</f>
        <v>0</v>
      </c>
      <c r="K179" s="131" t="s">
        <v>184</v>
      </c>
      <c r="L179" s="33"/>
      <c r="M179" s="136" t="s">
        <v>3</v>
      </c>
      <c r="N179" s="137" t="s">
        <v>48</v>
      </c>
      <c r="P179" s="138">
        <f>O179*H179</f>
        <v>0</v>
      </c>
      <c r="Q179" s="138">
        <v>0</v>
      </c>
      <c r="R179" s="138">
        <f>Q179*H179</f>
        <v>0</v>
      </c>
      <c r="S179" s="138">
        <v>0</v>
      </c>
      <c r="T179" s="139">
        <f>S179*H179</f>
        <v>0</v>
      </c>
      <c r="AR179" s="140" t="s">
        <v>185</v>
      </c>
      <c r="AT179" s="140" t="s">
        <v>180</v>
      </c>
      <c r="AU179" s="140" t="s">
        <v>198</v>
      </c>
      <c r="AY179" s="18" t="s">
        <v>177</v>
      </c>
      <c r="BE179" s="141">
        <f>IF(N179="základní",J179,0)</f>
        <v>0</v>
      </c>
      <c r="BF179" s="141">
        <f>IF(N179="snížená",J179,0)</f>
        <v>0</v>
      </c>
      <c r="BG179" s="141">
        <f>IF(N179="zákl. přenesená",J179,0)</f>
        <v>0</v>
      </c>
      <c r="BH179" s="141">
        <f>IF(N179="sníž. přenesená",J179,0)</f>
        <v>0</v>
      </c>
      <c r="BI179" s="141">
        <f>IF(N179="nulová",J179,0)</f>
        <v>0</v>
      </c>
      <c r="BJ179" s="18" t="s">
        <v>85</v>
      </c>
      <c r="BK179" s="141">
        <f>ROUND(I179*H179,2)</f>
        <v>0</v>
      </c>
      <c r="BL179" s="18" t="s">
        <v>185</v>
      </c>
      <c r="BM179" s="140" t="s">
        <v>2378</v>
      </c>
    </row>
    <row r="180" spans="2:47" s="1" customFormat="1" ht="19.5">
      <c r="B180" s="33"/>
      <c r="D180" s="142" t="s">
        <v>187</v>
      </c>
      <c r="F180" s="143" t="s">
        <v>2006</v>
      </c>
      <c r="I180" s="144"/>
      <c r="L180" s="33"/>
      <c r="M180" s="145"/>
      <c r="T180" s="54"/>
      <c r="AT180" s="18" t="s">
        <v>187</v>
      </c>
      <c r="AU180" s="18" t="s">
        <v>198</v>
      </c>
    </row>
    <row r="181" spans="2:47" s="1" customFormat="1" ht="11.25">
      <c r="B181" s="33"/>
      <c r="D181" s="146" t="s">
        <v>189</v>
      </c>
      <c r="F181" s="147" t="s">
        <v>2007</v>
      </c>
      <c r="I181" s="144"/>
      <c r="L181" s="33"/>
      <c r="M181" s="145"/>
      <c r="T181" s="54"/>
      <c r="AT181" s="18" t="s">
        <v>189</v>
      </c>
      <c r="AU181" s="18" t="s">
        <v>198</v>
      </c>
    </row>
    <row r="182" spans="2:47" s="1" customFormat="1" ht="39">
      <c r="B182" s="33"/>
      <c r="D182" s="142" t="s">
        <v>191</v>
      </c>
      <c r="F182" s="148" t="s">
        <v>2001</v>
      </c>
      <c r="I182" s="144"/>
      <c r="L182" s="33"/>
      <c r="M182" s="145"/>
      <c r="T182" s="54"/>
      <c r="AT182" s="18" t="s">
        <v>191</v>
      </c>
      <c r="AU182" s="18" t="s">
        <v>198</v>
      </c>
    </row>
    <row r="183" spans="2:63" s="11" customFormat="1" ht="22.9" customHeight="1">
      <c r="B183" s="116"/>
      <c r="D183" s="117" t="s">
        <v>76</v>
      </c>
      <c r="E183" s="126" t="s">
        <v>233</v>
      </c>
      <c r="F183" s="126" t="s">
        <v>625</v>
      </c>
      <c r="I183" s="119"/>
      <c r="J183" s="127">
        <f>BK183</f>
        <v>0</v>
      </c>
      <c r="L183" s="116"/>
      <c r="M183" s="121"/>
      <c r="P183" s="122">
        <f>SUM(P184:P399)</f>
        <v>0</v>
      </c>
      <c r="R183" s="122">
        <f>SUM(R184:R399)</f>
        <v>28.34145700484</v>
      </c>
      <c r="T183" s="123">
        <f>SUM(T184:T399)</f>
        <v>0</v>
      </c>
      <c r="AR183" s="117" t="s">
        <v>85</v>
      </c>
      <c r="AT183" s="124" t="s">
        <v>76</v>
      </c>
      <c r="AU183" s="124" t="s">
        <v>85</v>
      </c>
      <c r="AY183" s="117" t="s">
        <v>177</v>
      </c>
      <c r="BK183" s="125">
        <f>SUM(BK184:BK399)</f>
        <v>0</v>
      </c>
    </row>
    <row r="184" spans="2:65" s="1" customFormat="1" ht="44.25" customHeight="1">
      <c r="B184" s="128"/>
      <c r="C184" s="129" t="s">
        <v>302</v>
      </c>
      <c r="D184" s="129" t="s">
        <v>180</v>
      </c>
      <c r="E184" s="130" t="s">
        <v>2379</v>
      </c>
      <c r="F184" s="131" t="s">
        <v>2380</v>
      </c>
      <c r="G184" s="132" t="s">
        <v>332</v>
      </c>
      <c r="H184" s="133">
        <v>310.72</v>
      </c>
      <c r="I184" s="134"/>
      <c r="J184" s="135">
        <f>ROUND(I184*H184,2)</f>
        <v>0</v>
      </c>
      <c r="K184" s="131" t="s">
        <v>184</v>
      </c>
      <c r="L184" s="33"/>
      <c r="M184" s="136" t="s">
        <v>3</v>
      </c>
      <c r="N184" s="137" t="s">
        <v>48</v>
      </c>
      <c r="P184" s="138">
        <f>O184*H184</f>
        <v>0</v>
      </c>
      <c r="Q184" s="138">
        <v>0.00879744</v>
      </c>
      <c r="R184" s="138">
        <f>Q184*H184</f>
        <v>2.7335405568000004</v>
      </c>
      <c r="S184" s="138">
        <v>0</v>
      </c>
      <c r="T184" s="139">
        <f>S184*H184</f>
        <v>0</v>
      </c>
      <c r="AR184" s="140" t="s">
        <v>185</v>
      </c>
      <c r="AT184" s="140" t="s">
        <v>180</v>
      </c>
      <c r="AU184" s="140" t="s">
        <v>87</v>
      </c>
      <c r="AY184" s="18" t="s">
        <v>177</v>
      </c>
      <c r="BE184" s="141">
        <f>IF(N184="základní",J184,0)</f>
        <v>0</v>
      </c>
      <c r="BF184" s="141">
        <f>IF(N184="snížená",J184,0)</f>
        <v>0</v>
      </c>
      <c r="BG184" s="141">
        <f>IF(N184="zákl. přenesená",J184,0)</f>
        <v>0</v>
      </c>
      <c r="BH184" s="141">
        <f>IF(N184="sníž. přenesená",J184,0)</f>
        <v>0</v>
      </c>
      <c r="BI184" s="141">
        <f>IF(N184="nulová",J184,0)</f>
        <v>0</v>
      </c>
      <c r="BJ184" s="18" t="s">
        <v>85</v>
      </c>
      <c r="BK184" s="141">
        <f>ROUND(I184*H184,2)</f>
        <v>0</v>
      </c>
      <c r="BL184" s="18" t="s">
        <v>185</v>
      </c>
      <c r="BM184" s="140" t="s">
        <v>2381</v>
      </c>
    </row>
    <row r="185" spans="2:47" s="1" customFormat="1" ht="39">
      <c r="B185" s="33"/>
      <c r="D185" s="142" t="s">
        <v>187</v>
      </c>
      <c r="F185" s="143" t="s">
        <v>2382</v>
      </c>
      <c r="I185" s="144"/>
      <c r="L185" s="33"/>
      <c r="M185" s="145"/>
      <c r="T185" s="54"/>
      <c r="AT185" s="18" t="s">
        <v>187</v>
      </c>
      <c r="AU185" s="18" t="s">
        <v>87</v>
      </c>
    </row>
    <row r="186" spans="2:47" s="1" customFormat="1" ht="11.25">
      <c r="B186" s="33"/>
      <c r="D186" s="146" t="s">
        <v>189</v>
      </c>
      <c r="F186" s="147" t="s">
        <v>2383</v>
      </c>
      <c r="I186" s="144"/>
      <c r="L186" s="33"/>
      <c r="M186" s="145"/>
      <c r="T186" s="54"/>
      <c r="AT186" s="18" t="s">
        <v>189</v>
      </c>
      <c r="AU186" s="18" t="s">
        <v>87</v>
      </c>
    </row>
    <row r="187" spans="2:47" s="1" customFormat="1" ht="273">
      <c r="B187" s="33"/>
      <c r="D187" s="142" t="s">
        <v>191</v>
      </c>
      <c r="F187" s="148" t="s">
        <v>2384</v>
      </c>
      <c r="I187" s="144"/>
      <c r="L187" s="33"/>
      <c r="M187" s="145"/>
      <c r="T187" s="54"/>
      <c r="AT187" s="18" t="s">
        <v>191</v>
      </c>
      <c r="AU187" s="18" t="s">
        <v>87</v>
      </c>
    </row>
    <row r="188" spans="2:51" s="13" customFormat="1" ht="11.25">
      <c r="B188" s="156"/>
      <c r="D188" s="142" t="s">
        <v>193</v>
      </c>
      <c r="E188" s="157" t="s">
        <v>3</v>
      </c>
      <c r="F188" s="158" t="s">
        <v>778</v>
      </c>
      <c r="H188" s="157" t="s">
        <v>3</v>
      </c>
      <c r="I188" s="159"/>
      <c r="L188" s="156"/>
      <c r="M188" s="160"/>
      <c r="T188" s="161"/>
      <c r="AT188" s="157" t="s">
        <v>193</v>
      </c>
      <c r="AU188" s="157" t="s">
        <v>87</v>
      </c>
      <c r="AV188" s="13" t="s">
        <v>85</v>
      </c>
      <c r="AW188" s="13" t="s">
        <v>36</v>
      </c>
      <c r="AX188" s="13" t="s">
        <v>77</v>
      </c>
      <c r="AY188" s="157" t="s">
        <v>177</v>
      </c>
    </row>
    <row r="189" spans="2:51" s="12" customFormat="1" ht="11.25">
      <c r="B189" s="149"/>
      <c r="D189" s="142" t="s">
        <v>193</v>
      </c>
      <c r="E189" s="150" t="s">
        <v>3</v>
      </c>
      <c r="F189" s="151" t="s">
        <v>2385</v>
      </c>
      <c r="H189" s="152">
        <v>314.8</v>
      </c>
      <c r="I189" s="153"/>
      <c r="L189" s="149"/>
      <c r="M189" s="154"/>
      <c r="T189" s="155"/>
      <c r="AT189" s="150" t="s">
        <v>193</v>
      </c>
      <c r="AU189" s="150" t="s">
        <v>87</v>
      </c>
      <c r="AV189" s="12" t="s">
        <v>87</v>
      </c>
      <c r="AW189" s="12" t="s">
        <v>36</v>
      </c>
      <c r="AX189" s="12" t="s">
        <v>77</v>
      </c>
      <c r="AY189" s="150" t="s">
        <v>177</v>
      </c>
    </row>
    <row r="190" spans="2:51" s="12" customFormat="1" ht="11.25">
      <c r="B190" s="149"/>
      <c r="D190" s="142" t="s">
        <v>193</v>
      </c>
      <c r="E190" s="150" t="s">
        <v>3</v>
      </c>
      <c r="F190" s="151" t="s">
        <v>2386</v>
      </c>
      <c r="H190" s="152">
        <v>-4.08</v>
      </c>
      <c r="I190" s="153"/>
      <c r="L190" s="149"/>
      <c r="M190" s="154"/>
      <c r="T190" s="155"/>
      <c r="AT190" s="150" t="s">
        <v>193</v>
      </c>
      <c r="AU190" s="150" t="s">
        <v>87</v>
      </c>
      <c r="AV190" s="12" t="s">
        <v>87</v>
      </c>
      <c r="AW190" s="12" t="s">
        <v>36</v>
      </c>
      <c r="AX190" s="12" t="s">
        <v>77</v>
      </c>
      <c r="AY190" s="150" t="s">
        <v>177</v>
      </c>
    </row>
    <row r="191" spans="2:51" s="15" customFormat="1" ht="11.25">
      <c r="B191" s="169"/>
      <c r="D191" s="142" t="s">
        <v>193</v>
      </c>
      <c r="E191" s="170" t="s">
        <v>3</v>
      </c>
      <c r="F191" s="171" t="s">
        <v>201</v>
      </c>
      <c r="H191" s="172">
        <v>310.72</v>
      </c>
      <c r="I191" s="173"/>
      <c r="L191" s="169"/>
      <c r="M191" s="174"/>
      <c r="T191" s="175"/>
      <c r="AT191" s="170" t="s">
        <v>193</v>
      </c>
      <c r="AU191" s="170" t="s">
        <v>87</v>
      </c>
      <c r="AV191" s="15" t="s">
        <v>185</v>
      </c>
      <c r="AW191" s="15" t="s">
        <v>36</v>
      </c>
      <c r="AX191" s="15" t="s">
        <v>85</v>
      </c>
      <c r="AY191" s="170" t="s">
        <v>177</v>
      </c>
    </row>
    <row r="192" spans="2:65" s="1" customFormat="1" ht="16.5" customHeight="1">
      <c r="B192" s="128"/>
      <c r="C192" s="179" t="s">
        <v>315</v>
      </c>
      <c r="D192" s="179" t="s">
        <v>484</v>
      </c>
      <c r="E192" s="180" t="s">
        <v>2387</v>
      </c>
      <c r="F192" s="181" t="s">
        <v>2388</v>
      </c>
      <c r="G192" s="182" t="s">
        <v>332</v>
      </c>
      <c r="H192" s="183">
        <v>341.792</v>
      </c>
      <c r="I192" s="184"/>
      <c r="J192" s="185">
        <f>ROUND(I192*H192,2)</f>
        <v>0</v>
      </c>
      <c r="K192" s="181" t="s">
        <v>184</v>
      </c>
      <c r="L192" s="186"/>
      <c r="M192" s="187" t="s">
        <v>3</v>
      </c>
      <c r="N192" s="188" t="s">
        <v>48</v>
      </c>
      <c r="P192" s="138">
        <f>O192*H192</f>
        <v>0</v>
      </c>
      <c r="Q192" s="138">
        <v>0.0034</v>
      </c>
      <c r="R192" s="138">
        <f>Q192*H192</f>
        <v>1.1620928</v>
      </c>
      <c r="S192" s="138">
        <v>0</v>
      </c>
      <c r="T192" s="139">
        <f>S192*H192</f>
        <v>0</v>
      </c>
      <c r="AR192" s="140" t="s">
        <v>248</v>
      </c>
      <c r="AT192" s="140" t="s">
        <v>484</v>
      </c>
      <c r="AU192" s="140" t="s">
        <v>87</v>
      </c>
      <c r="AY192" s="18" t="s">
        <v>177</v>
      </c>
      <c r="BE192" s="141">
        <f>IF(N192="základní",J192,0)</f>
        <v>0</v>
      </c>
      <c r="BF192" s="141">
        <f>IF(N192="snížená",J192,0)</f>
        <v>0</v>
      </c>
      <c r="BG192" s="141">
        <f>IF(N192="zákl. přenesená",J192,0)</f>
        <v>0</v>
      </c>
      <c r="BH192" s="141">
        <f>IF(N192="sníž. přenesená",J192,0)</f>
        <v>0</v>
      </c>
      <c r="BI192" s="141">
        <f>IF(N192="nulová",J192,0)</f>
        <v>0</v>
      </c>
      <c r="BJ192" s="18" t="s">
        <v>85</v>
      </c>
      <c r="BK192" s="141">
        <f>ROUND(I192*H192,2)</f>
        <v>0</v>
      </c>
      <c r="BL192" s="18" t="s">
        <v>185</v>
      </c>
      <c r="BM192" s="140" t="s">
        <v>2389</v>
      </c>
    </row>
    <row r="193" spans="2:47" s="1" customFormat="1" ht="11.25">
      <c r="B193" s="33"/>
      <c r="D193" s="142" t="s">
        <v>187</v>
      </c>
      <c r="F193" s="143" t="s">
        <v>2388</v>
      </c>
      <c r="I193" s="144"/>
      <c r="L193" s="33"/>
      <c r="M193" s="145"/>
      <c r="T193" s="54"/>
      <c r="AT193" s="18" t="s">
        <v>187</v>
      </c>
      <c r="AU193" s="18" t="s">
        <v>87</v>
      </c>
    </row>
    <row r="194" spans="2:51" s="12" customFormat="1" ht="11.25">
      <c r="B194" s="149"/>
      <c r="D194" s="142" t="s">
        <v>193</v>
      </c>
      <c r="F194" s="151" t="s">
        <v>2390</v>
      </c>
      <c r="H194" s="152">
        <v>341.792</v>
      </c>
      <c r="I194" s="153"/>
      <c r="L194" s="149"/>
      <c r="M194" s="154"/>
      <c r="T194" s="155"/>
      <c r="AT194" s="150" t="s">
        <v>193</v>
      </c>
      <c r="AU194" s="150" t="s">
        <v>87</v>
      </c>
      <c r="AV194" s="12" t="s">
        <v>87</v>
      </c>
      <c r="AW194" s="12" t="s">
        <v>4</v>
      </c>
      <c r="AX194" s="12" t="s">
        <v>85</v>
      </c>
      <c r="AY194" s="150" t="s">
        <v>177</v>
      </c>
    </row>
    <row r="195" spans="2:65" s="1" customFormat="1" ht="24.2" customHeight="1">
      <c r="B195" s="128"/>
      <c r="C195" s="129" t="s">
        <v>461</v>
      </c>
      <c r="D195" s="129" t="s">
        <v>180</v>
      </c>
      <c r="E195" s="130" t="s">
        <v>2391</v>
      </c>
      <c r="F195" s="131" t="s">
        <v>2392</v>
      </c>
      <c r="G195" s="132" t="s">
        <v>332</v>
      </c>
      <c r="H195" s="133">
        <v>506.597</v>
      </c>
      <c r="I195" s="134"/>
      <c r="J195" s="135">
        <f>ROUND(I195*H195,2)</f>
        <v>0</v>
      </c>
      <c r="K195" s="131" t="s">
        <v>184</v>
      </c>
      <c r="L195" s="33"/>
      <c r="M195" s="136" t="s">
        <v>3</v>
      </c>
      <c r="N195" s="137" t="s">
        <v>48</v>
      </c>
      <c r="P195" s="138">
        <f>O195*H195</f>
        <v>0</v>
      </c>
      <c r="Q195" s="138">
        <v>0.00025</v>
      </c>
      <c r="R195" s="138">
        <f>Q195*H195</f>
        <v>0.12664925</v>
      </c>
      <c r="S195" s="138">
        <v>0</v>
      </c>
      <c r="T195" s="139">
        <f>S195*H195</f>
        <v>0</v>
      </c>
      <c r="AR195" s="140" t="s">
        <v>185</v>
      </c>
      <c r="AT195" s="140" t="s">
        <v>180</v>
      </c>
      <c r="AU195" s="140" t="s">
        <v>87</v>
      </c>
      <c r="AY195" s="18" t="s">
        <v>177</v>
      </c>
      <c r="BE195" s="141">
        <f>IF(N195="základní",J195,0)</f>
        <v>0</v>
      </c>
      <c r="BF195" s="141">
        <f>IF(N195="snížená",J195,0)</f>
        <v>0</v>
      </c>
      <c r="BG195" s="141">
        <f>IF(N195="zákl. přenesená",J195,0)</f>
        <v>0</v>
      </c>
      <c r="BH195" s="141">
        <f>IF(N195="sníž. přenesená",J195,0)</f>
        <v>0</v>
      </c>
      <c r="BI195" s="141">
        <f>IF(N195="nulová",J195,0)</f>
        <v>0</v>
      </c>
      <c r="BJ195" s="18" t="s">
        <v>85</v>
      </c>
      <c r="BK195" s="141">
        <f>ROUND(I195*H195,2)</f>
        <v>0</v>
      </c>
      <c r="BL195" s="18" t="s">
        <v>185</v>
      </c>
      <c r="BM195" s="140" t="s">
        <v>2393</v>
      </c>
    </row>
    <row r="196" spans="2:47" s="1" customFormat="1" ht="19.5">
      <c r="B196" s="33"/>
      <c r="D196" s="142" t="s">
        <v>187</v>
      </c>
      <c r="F196" s="143" t="s">
        <v>2394</v>
      </c>
      <c r="I196" s="144"/>
      <c r="L196" s="33"/>
      <c r="M196" s="145"/>
      <c r="T196" s="54"/>
      <c r="AT196" s="18" t="s">
        <v>187</v>
      </c>
      <c r="AU196" s="18" t="s">
        <v>87</v>
      </c>
    </row>
    <row r="197" spans="2:47" s="1" customFormat="1" ht="11.25">
      <c r="B197" s="33"/>
      <c r="D197" s="146" t="s">
        <v>189</v>
      </c>
      <c r="F197" s="147" t="s">
        <v>2395</v>
      </c>
      <c r="I197" s="144"/>
      <c r="L197" s="33"/>
      <c r="M197" s="145"/>
      <c r="T197" s="54"/>
      <c r="AT197" s="18" t="s">
        <v>189</v>
      </c>
      <c r="AU197" s="18" t="s">
        <v>87</v>
      </c>
    </row>
    <row r="198" spans="2:65" s="1" customFormat="1" ht="24.2" customHeight="1">
      <c r="B198" s="128"/>
      <c r="C198" s="129" t="s">
        <v>467</v>
      </c>
      <c r="D198" s="129" t="s">
        <v>180</v>
      </c>
      <c r="E198" s="130" t="s">
        <v>2396</v>
      </c>
      <c r="F198" s="131" t="s">
        <v>2397</v>
      </c>
      <c r="G198" s="132" t="s">
        <v>332</v>
      </c>
      <c r="H198" s="133">
        <v>35.193</v>
      </c>
      <c r="I198" s="134"/>
      <c r="J198" s="135">
        <f>ROUND(I198*H198,2)</f>
        <v>0</v>
      </c>
      <c r="K198" s="131" t="s">
        <v>184</v>
      </c>
      <c r="L198" s="33"/>
      <c r="M198" s="136" t="s">
        <v>3</v>
      </c>
      <c r="N198" s="137" t="s">
        <v>48</v>
      </c>
      <c r="P198" s="138">
        <f>O198*H198</f>
        <v>0</v>
      </c>
      <c r="Q198" s="138">
        <v>0.0002</v>
      </c>
      <c r="R198" s="138">
        <f>Q198*H198</f>
        <v>0.0070386</v>
      </c>
      <c r="S198" s="138">
        <v>0</v>
      </c>
      <c r="T198" s="139">
        <f>S198*H198</f>
        <v>0</v>
      </c>
      <c r="AR198" s="140" t="s">
        <v>185</v>
      </c>
      <c r="AT198" s="140" t="s">
        <v>180</v>
      </c>
      <c r="AU198" s="140" t="s">
        <v>87</v>
      </c>
      <c r="AY198" s="18" t="s">
        <v>177</v>
      </c>
      <c r="BE198" s="141">
        <f>IF(N198="základní",J198,0)</f>
        <v>0</v>
      </c>
      <c r="BF198" s="141">
        <f>IF(N198="snížená",J198,0)</f>
        <v>0</v>
      </c>
      <c r="BG198" s="141">
        <f>IF(N198="zákl. přenesená",J198,0)</f>
        <v>0</v>
      </c>
      <c r="BH198" s="141">
        <f>IF(N198="sníž. přenesená",J198,0)</f>
        <v>0</v>
      </c>
      <c r="BI198" s="141">
        <f>IF(N198="nulová",J198,0)</f>
        <v>0</v>
      </c>
      <c r="BJ198" s="18" t="s">
        <v>85</v>
      </c>
      <c r="BK198" s="141">
        <f>ROUND(I198*H198,2)</f>
        <v>0</v>
      </c>
      <c r="BL198" s="18" t="s">
        <v>185</v>
      </c>
      <c r="BM198" s="140" t="s">
        <v>2398</v>
      </c>
    </row>
    <row r="199" spans="2:47" s="1" customFormat="1" ht="19.5">
      <c r="B199" s="33"/>
      <c r="D199" s="142" t="s">
        <v>187</v>
      </c>
      <c r="F199" s="143" t="s">
        <v>2399</v>
      </c>
      <c r="I199" s="144"/>
      <c r="L199" s="33"/>
      <c r="M199" s="145"/>
      <c r="T199" s="54"/>
      <c r="AT199" s="18" t="s">
        <v>187</v>
      </c>
      <c r="AU199" s="18" t="s">
        <v>87</v>
      </c>
    </row>
    <row r="200" spans="2:47" s="1" customFormat="1" ht="11.25">
      <c r="B200" s="33"/>
      <c r="D200" s="146" t="s">
        <v>189</v>
      </c>
      <c r="F200" s="147" t="s">
        <v>2400</v>
      </c>
      <c r="I200" s="144"/>
      <c r="L200" s="33"/>
      <c r="M200" s="145"/>
      <c r="T200" s="54"/>
      <c r="AT200" s="18" t="s">
        <v>189</v>
      </c>
      <c r="AU200" s="18" t="s">
        <v>87</v>
      </c>
    </row>
    <row r="201" spans="2:51" s="13" customFormat="1" ht="11.25">
      <c r="B201" s="156"/>
      <c r="D201" s="142" t="s">
        <v>193</v>
      </c>
      <c r="E201" s="157" t="s">
        <v>3</v>
      </c>
      <c r="F201" s="158" t="s">
        <v>2401</v>
      </c>
      <c r="H201" s="157" t="s">
        <v>3</v>
      </c>
      <c r="I201" s="159"/>
      <c r="L201" s="156"/>
      <c r="M201" s="160"/>
      <c r="T201" s="161"/>
      <c r="AT201" s="157" t="s">
        <v>193</v>
      </c>
      <c r="AU201" s="157" t="s">
        <v>87</v>
      </c>
      <c r="AV201" s="13" t="s">
        <v>85</v>
      </c>
      <c r="AW201" s="13" t="s">
        <v>36</v>
      </c>
      <c r="AX201" s="13" t="s">
        <v>77</v>
      </c>
      <c r="AY201" s="157" t="s">
        <v>177</v>
      </c>
    </row>
    <row r="202" spans="2:51" s="12" customFormat="1" ht="11.25">
      <c r="B202" s="149"/>
      <c r="D202" s="142" t="s">
        <v>193</v>
      </c>
      <c r="E202" s="150" t="s">
        <v>3</v>
      </c>
      <c r="F202" s="151" t="s">
        <v>2402</v>
      </c>
      <c r="H202" s="152">
        <v>4.039</v>
      </c>
      <c r="I202" s="153"/>
      <c r="L202" s="149"/>
      <c r="M202" s="154"/>
      <c r="T202" s="155"/>
      <c r="AT202" s="150" t="s">
        <v>193</v>
      </c>
      <c r="AU202" s="150" t="s">
        <v>87</v>
      </c>
      <c r="AV202" s="12" t="s">
        <v>87</v>
      </c>
      <c r="AW202" s="12" t="s">
        <v>36</v>
      </c>
      <c r="AX202" s="12" t="s">
        <v>77</v>
      </c>
      <c r="AY202" s="150" t="s">
        <v>177</v>
      </c>
    </row>
    <row r="203" spans="2:51" s="13" customFormat="1" ht="11.25">
      <c r="B203" s="156"/>
      <c r="D203" s="142" t="s">
        <v>193</v>
      </c>
      <c r="E203" s="157" t="s">
        <v>3</v>
      </c>
      <c r="F203" s="158" t="s">
        <v>2403</v>
      </c>
      <c r="H203" s="157" t="s">
        <v>3</v>
      </c>
      <c r="I203" s="159"/>
      <c r="L203" s="156"/>
      <c r="M203" s="160"/>
      <c r="T203" s="161"/>
      <c r="AT203" s="157" t="s">
        <v>193</v>
      </c>
      <c r="AU203" s="157" t="s">
        <v>87</v>
      </c>
      <c r="AV203" s="13" t="s">
        <v>85</v>
      </c>
      <c r="AW203" s="13" t="s">
        <v>36</v>
      </c>
      <c r="AX203" s="13" t="s">
        <v>77</v>
      </c>
      <c r="AY203" s="157" t="s">
        <v>177</v>
      </c>
    </row>
    <row r="204" spans="2:51" s="12" customFormat="1" ht="11.25">
      <c r="B204" s="149"/>
      <c r="D204" s="142" t="s">
        <v>193</v>
      </c>
      <c r="E204" s="150" t="s">
        <v>3</v>
      </c>
      <c r="F204" s="151" t="s">
        <v>2404</v>
      </c>
      <c r="H204" s="152">
        <v>23.5</v>
      </c>
      <c r="I204" s="153"/>
      <c r="L204" s="149"/>
      <c r="M204" s="154"/>
      <c r="T204" s="155"/>
      <c r="AT204" s="150" t="s">
        <v>193</v>
      </c>
      <c r="AU204" s="150" t="s">
        <v>87</v>
      </c>
      <c r="AV204" s="12" t="s">
        <v>87</v>
      </c>
      <c r="AW204" s="12" t="s">
        <v>36</v>
      </c>
      <c r="AX204" s="12" t="s">
        <v>77</v>
      </c>
      <c r="AY204" s="150" t="s">
        <v>177</v>
      </c>
    </row>
    <row r="205" spans="2:51" s="13" customFormat="1" ht="11.25">
      <c r="B205" s="156"/>
      <c r="D205" s="142" t="s">
        <v>193</v>
      </c>
      <c r="E205" s="157" t="s">
        <v>3</v>
      </c>
      <c r="F205" s="158" t="s">
        <v>2405</v>
      </c>
      <c r="H205" s="157" t="s">
        <v>3</v>
      </c>
      <c r="I205" s="159"/>
      <c r="L205" s="156"/>
      <c r="M205" s="160"/>
      <c r="T205" s="161"/>
      <c r="AT205" s="157" t="s">
        <v>193</v>
      </c>
      <c r="AU205" s="157" t="s">
        <v>87</v>
      </c>
      <c r="AV205" s="13" t="s">
        <v>85</v>
      </c>
      <c r="AW205" s="13" t="s">
        <v>36</v>
      </c>
      <c r="AX205" s="13" t="s">
        <v>77</v>
      </c>
      <c r="AY205" s="157" t="s">
        <v>177</v>
      </c>
    </row>
    <row r="206" spans="2:51" s="12" customFormat="1" ht="11.25">
      <c r="B206" s="149"/>
      <c r="D206" s="142" t="s">
        <v>193</v>
      </c>
      <c r="E206" s="150" t="s">
        <v>3</v>
      </c>
      <c r="F206" s="151" t="s">
        <v>77</v>
      </c>
      <c r="H206" s="152">
        <v>0</v>
      </c>
      <c r="I206" s="153"/>
      <c r="L206" s="149"/>
      <c r="M206" s="154"/>
      <c r="T206" s="155"/>
      <c r="AT206" s="150" t="s">
        <v>193</v>
      </c>
      <c r="AU206" s="150" t="s">
        <v>87</v>
      </c>
      <c r="AV206" s="12" t="s">
        <v>87</v>
      </c>
      <c r="AW206" s="12" t="s">
        <v>36</v>
      </c>
      <c r="AX206" s="12" t="s">
        <v>77</v>
      </c>
      <c r="AY206" s="150" t="s">
        <v>177</v>
      </c>
    </row>
    <row r="207" spans="2:51" s="13" customFormat="1" ht="11.25">
      <c r="B207" s="156"/>
      <c r="D207" s="142" t="s">
        <v>193</v>
      </c>
      <c r="E207" s="157" t="s">
        <v>3</v>
      </c>
      <c r="F207" s="158" t="s">
        <v>2406</v>
      </c>
      <c r="H207" s="157" t="s">
        <v>3</v>
      </c>
      <c r="I207" s="159"/>
      <c r="L207" s="156"/>
      <c r="M207" s="160"/>
      <c r="T207" s="161"/>
      <c r="AT207" s="157" t="s">
        <v>193</v>
      </c>
      <c r="AU207" s="157" t="s">
        <v>87</v>
      </c>
      <c r="AV207" s="13" t="s">
        <v>85</v>
      </c>
      <c r="AW207" s="13" t="s">
        <v>36</v>
      </c>
      <c r="AX207" s="13" t="s">
        <v>77</v>
      </c>
      <c r="AY207" s="157" t="s">
        <v>177</v>
      </c>
    </row>
    <row r="208" spans="2:51" s="12" customFormat="1" ht="11.25">
      <c r="B208" s="149"/>
      <c r="D208" s="142" t="s">
        <v>193</v>
      </c>
      <c r="E208" s="150" t="s">
        <v>3</v>
      </c>
      <c r="F208" s="151" t="s">
        <v>2407</v>
      </c>
      <c r="H208" s="152">
        <v>7.654</v>
      </c>
      <c r="I208" s="153"/>
      <c r="L208" s="149"/>
      <c r="M208" s="154"/>
      <c r="T208" s="155"/>
      <c r="AT208" s="150" t="s">
        <v>193</v>
      </c>
      <c r="AU208" s="150" t="s">
        <v>87</v>
      </c>
      <c r="AV208" s="12" t="s">
        <v>87</v>
      </c>
      <c r="AW208" s="12" t="s">
        <v>36</v>
      </c>
      <c r="AX208" s="12" t="s">
        <v>77</v>
      </c>
      <c r="AY208" s="150" t="s">
        <v>177</v>
      </c>
    </row>
    <row r="209" spans="2:51" s="15" customFormat="1" ht="11.25">
      <c r="B209" s="169"/>
      <c r="D209" s="142" t="s">
        <v>193</v>
      </c>
      <c r="E209" s="170" t="s">
        <v>3</v>
      </c>
      <c r="F209" s="171" t="s">
        <v>201</v>
      </c>
      <c r="H209" s="172">
        <v>35.193</v>
      </c>
      <c r="I209" s="173"/>
      <c r="L209" s="169"/>
      <c r="M209" s="174"/>
      <c r="T209" s="175"/>
      <c r="AT209" s="170" t="s">
        <v>193</v>
      </c>
      <c r="AU209" s="170" t="s">
        <v>87</v>
      </c>
      <c r="AV209" s="15" t="s">
        <v>185</v>
      </c>
      <c r="AW209" s="15" t="s">
        <v>36</v>
      </c>
      <c r="AX209" s="15" t="s">
        <v>85</v>
      </c>
      <c r="AY209" s="170" t="s">
        <v>177</v>
      </c>
    </row>
    <row r="210" spans="2:65" s="1" customFormat="1" ht="44.25" customHeight="1">
      <c r="B210" s="128"/>
      <c r="C210" s="129" t="s">
        <v>8</v>
      </c>
      <c r="D210" s="129" t="s">
        <v>180</v>
      </c>
      <c r="E210" s="130" t="s">
        <v>2408</v>
      </c>
      <c r="F210" s="131" t="s">
        <v>2409</v>
      </c>
      <c r="G210" s="132" t="s">
        <v>332</v>
      </c>
      <c r="H210" s="133">
        <v>14.7</v>
      </c>
      <c r="I210" s="134"/>
      <c r="J210" s="135">
        <f>ROUND(I210*H210,2)</f>
        <v>0</v>
      </c>
      <c r="K210" s="131" t="s">
        <v>184</v>
      </c>
      <c r="L210" s="33"/>
      <c r="M210" s="136" t="s">
        <v>3</v>
      </c>
      <c r="N210" s="137" t="s">
        <v>48</v>
      </c>
      <c r="P210" s="138">
        <f>O210*H210</f>
        <v>0</v>
      </c>
      <c r="Q210" s="138">
        <v>0.00867616</v>
      </c>
      <c r="R210" s="138">
        <f>Q210*H210</f>
        <v>0.127539552</v>
      </c>
      <c r="S210" s="138">
        <v>0</v>
      </c>
      <c r="T210" s="139">
        <f>S210*H210</f>
        <v>0</v>
      </c>
      <c r="AR210" s="140" t="s">
        <v>185</v>
      </c>
      <c r="AT210" s="140" t="s">
        <v>180</v>
      </c>
      <c r="AU210" s="140" t="s">
        <v>87</v>
      </c>
      <c r="AY210" s="18" t="s">
        <v>177</v>
      </c>
      <c r="BE210" s="141">
        <f>IF(N210="základní",J210,0)</f>
        <v>0</v>
      </c>
      <c r="BF210" s="141">
        <f>IF(N210="snížená",J210,0)</f>
        <v>0</v>
      </c>
      <c r="BG210" s="141">
        <f>IF(N210="zákl. přenesená",J210,0)</f>
        <v>0</v>
      </c>
      <c r="BH210" s="141">
        <f>IF(N210="sníž. přenesená",J210,0)</f>
        <v>0</v>
      </c>
      <c r="BI210" s="141">
        <f>IF(N210="nulová",J210,0)</f>
        <v>0</v>
      </c>
      <c r="BJ210" s="18" t="s">
        <v>85</v>
      </c>
      <c r="BK210" s="141">
        <f>ROUND(I210*H210,2)</f>
        <v>0</v>
      </c>
      <c r="BL210" s="18" t="s">
        <v>185</v>
      </c>
      <c r="BM210" s="140" t="s">
        <v>2410</v>
      </c>
    </row>
    <row r="211" spans="2:47" s="1" customFormat="1" ht="39">
      <c r="B211" s="33"/>
      <c r="D211" s="142" t="s">
        <v>187</v>
      </c>
      <c r="F211" s="143" t="s">
        <v>2411</v>
      </c>
      <c r="I211" s="144"/>
      <c r="L211" s="33"/>
      <c r="M211" s="145"/>
      <c r="T211" s="54"/>
      <c r="AT211" s="18" t="s">
        <v>187</v>
      </c>
      <c r="AU211" s="18" t="s">
        <v>87</v>
      </c>
    </row>
    <row r="212" spans="2:47" s="1" customFormat="1" ht="11.25">
      <c r="B212" s="33"/>
      <c r="D212" s="146" t="s">
        <v>189</v>
      </c>
      <c r="F212" s="147" t="s">
        <v>2412</v>
      </c>
      <c r="I212" s="144"/>
      <c r="L212" s="33"/>
      <c r="M212" s="145"/>
      <c r="T212" s="54"/>
      <c r="AT212" s="18" t="s">
        <v>189</v>
      </c>
      <c r="AU212" s="18" t="s">
        <v>87</v>
      </c>
    </row>
    <row r="213" spans="2:47" s="1" customFormat="1" ht="273">
      <c r="B213" s="33"/>
      <c r="D213" s="142" t="s">
        <v>191</v>
      </c>
      <c r="F213" s="148" t="s">
        <v>2384</v>
      </c>
      <c r="I213" s="144"/>
      <c r="L213" s="33"/>
      <c r="M213" s="145"/>
      <c r="T213" s="54"/>
      <c r="AT213" s="18" t="s">
        <v>191</v>
      </c>
      <c r="AU213" s="18" t="s">
        <v>87</v>
      </c>
    </row>
    <row r="214" spans="2:51" s="13" customFormat="1" ht="11.25">
      <c r="B214" s="156"/>
      <c r="D214" s="142" t="s">
        <v>193</v>
      </c>
      <c r="E214" s="157" t="s">
        <v>3</v>
      </c>
      <c r="F214" s="158" t="s">
        <v>2413</v>
      </c>
      <c r="H214" s="157" t="s">
        <v>3</v>
      </c>
      <c r="I214" s="159"/>
      <c r="L214" s="156"/>
      <c r="M214" s="160"/>
      <c r="T214" s="161"/>
      <c r="AT214" s="157" t="s">
        <v>193</v>
      </c>
      <c r="AU214" s="157" t="s">
        <v>87</v>
      </c>
      <c r="AV214" s="13" t="s">
        <v>85</v>
      </c>
      <c r="AW214" s="13" t="s">
        <v>36</v>
      </c>
      <c r="AX214" s="13" t="s">
        <v>77</v>
      </c>
      <c r="AY214" s="157" t="s">
        <v>177</v>
      </c>
    </row>
    <row r="215" spans="2:51" s="12" customFormat="1" ht="11.25">
      <c r="B215" s="149"/>
      <c r="D215" s="142" t="s">
        <v>193</v>
      </c>
      <c r="E215" s="150" t="s">
        <v>3</v>
      </c>
      <c r="F215" s="151" t="s">
        <v>2414</v>
      </c>
      <c r="H215" s="152">
        <v>14.7</v>
      </c>
      <c r="I215" s="153"/>
      <c r="L215" s="149"/>
      <c r="M215" s="154"/>
      <c r="T215" s="155"/>
      <c r="AT215" s="150" t="s">
        <v>193</v>
      </c>
      <c r="AU215" s="150" t="s">
        <v>87</v>
      </c>
      <c r="AV215" s="12" t="s">
        <v>87</v>
      </c>
      <c r="AW215" s="12" t="s">
        <v>36</v>
      </c>
      <c r="AX215" s="12" t="s">
        <v>85</v>
      </c>
      <c r="AY215" s="150" t="s">
        <v>177</v>
      </c>
    </row>
    <row r="216" spans="2:65" s="1" customFormat="1" ht="16.5" customHeight="1">
      <c r="B216" s="128"/>
      <c r="C216" s="179" t="s">
        <v>483</v>
      </c>
      <c r="D216" s="179" t="s">
        <v>484</v>
      </c>
      <c r="E216" s="180" t="s">
        <v>2387</v>
      </c>
      <c r="F216" s="181" t="s">
        <v>2388</v>
      </c>
      <c r="G216" s="182" t="s">
        <v>332</v>
      </c>
      <c r="H216" s="183">
        <v>16.17</v>
      </c>
      <c r="I216" s="184"/>
      <c r="J216" s="185">
        <f>ROUND(I216*H216,2)</f>
        <v>0</v>
      </c>
      <c r="K216" s="181" t="s">
        <v>184</v>
      </c>
      <c r="L216" s="186"/>
      <c r="M216" s="187" t="s">
        <v>3</v>
      </c>
      <c r="N216" s="188" t="s">
        <v>48</v>
      </c>
      <c r="P216" s="138">
        <f>O216*H216</f>
        <v>0</v>
      </c>
      <c r="Q216" s="138">
        <v>0.0034</v>
      </c>
      <c r="R216" s="138">
        <f>Q216*H216</f>
        <v>0.054978000000000006</v>
      </c>
      <c r="S216" s="138">
        <v>0</v>
      </c>
      <c r="T216" s="139">
        <f>S216*H216</f>
        <v>0</v>
      </c>
      <c r="AR216" s="140" t="s">
        <v>248</v>
      </c>
      <c r="AT216" s="140" t="s">
        <v>484</v>
      </c>
      <c r="AU216" s="140" t="s">
        <v>87</v>
      </c>
      <c r="AY216" s="18" t="s">
        <v>177</v>
      </c>
      <c r="BE216" s="141">
        <f>IF(N216="základní",J216,0)</f>
        <v>0</v>
      </c>
      <c r="BF216" s="141">
        <f>IF(N216="snížená",J216,0)</f>
        <v>0</v>
      </c>
      <c r="BG216" s="141">
        <f>IF(N216="zákl. přenesená",J216,0)</f>
        <v>0</v>
      </c>
      <c r="BH216" s="141">
        <f>IF(N216="sníž. přenesená",J216,0)</f>
        <v>0</v>
      </c>
      <c r="BI216" s="141">
        <f>IF(N216="nulová",J216,0)</f>
        <v>0</v>
      </c>
      <c r="BJ216" s="18" t="s">
        <v>85</v>
      </c>
      <c r="BK216" s="141">
        <f>ROUND(I216*H216,2)</f>
        <v>0</v>
      </c>
      <c r="BL216" s="18" t="s">
        <v>185</v>
      </c>
      <c r="BM216" s="140" t="s">
        <v>2415</v>
      </c>
    </row>
    <row r="217" spans="2:47" s="1" customFormat="1" ht="11.25">
      <c r="B217" s="33"/>
      <c r="D217" s="142" t="s">
        <v>187</v>
      </c>
      <c r="F217" s="143" t="s">
        <v>2388</v>
      </c>
      <c r="I217" s="144"/>
      <c r="L217" s="33"/>
      <c r="M217" s="145"/>
      <c r="T217" s="54"/>
      <c r="AT217" s="18" t="s">
        <v>187</v>
      </c>
      <c r="AU217" s="18" t="s">
        <v>87</v>
      </c>
    </row>
    <row r="218" spans="2:51" s="12" customFormat="1" ht="11.25">
      <c r="B218" s="149"/>
      <c r="D218" s="142" t="s">
        <v>193</v>
      </c>
      <c r="F218" s="151" t="s">
        <v>2416</v>
      </c>
      <c r="H218" s="152">
        <v>16.17</v>
      </c>
      <c r="I218" s="153"/>
      <c r="L218" s="149"/>
      <c r="M218" s="154"/>
      <c r="T218" s="155"/>
      <c r="AT218" s="150" t="s">
        <v>193</v>
      </c>
      <c r="AU218" s="150" t="s">
        <v>87</v>
      </c>
      <c r="AV218" s="12" t="s">
        <v>87</v>
      </c>
      <c r="AW218" s="12" t="s">
        <v>4</v>
      </c>
      <c r="AX218" s="12" t="s">
        <v>85</v>
      </c>
      <c r="AY218" s="150" t="s">
        <v>177</v>
      </c>
    </row>
    <row r="219" spans="2:65" s="1" customFormat="1" ht="44.25" customHeight="1">
      <c r="B219" s="128"/>
      <c r="C219" s="129" t="s">
        <v>490</v>
      </c>
      <c r="D219" s="129" t="s">
        <v>180</v>
      </c>
      <c r="E219" s="130" t="s">
        <v>2408</v>
      </c>
      <c r="F219" s="131" t="s">
        <v>2409</v>
      </c>
      <c r="G219" s="132" t="s">
        <v>332</v>
      </c>
      <c r="H219" s="133">
        <v>47.517</v>
      </c>
      <c r="I219" s="134"/>
      <c r="J219" s="135">
        <f>ROUND(I219*H219,2)</f>
        <v>0</v>
      </c>
      <c r="K219" s="131" t="s">
        <v>184</v>
      </c>
      <c r="L219" s="33"/>
      <c r="M219" s="136" t="s">
        <v>3</v>
      </c>
      <c r="N219" s="137" t="s">
        <v>48</v>
      </c>
      <c r="P219" s="138">
        <f>O219*H219</f>
        <v>0</v>
      </c>
      <c r="Q219" s="138">
        <v>0.00867616</v>
      </c>
      <c r="R219" s="138">
        <f>Q219*H219</f>
        <v>0.41226509472000006</v>
      </c>
      <c r="S219" s="138">
        <v>0</v>
      </c>
      <c r="T219" s="139">
        <f>S219*H219</f>
        <v>0</v>
      </c>
      <c r="AR219" s="140" t="s">
        <v>185</v>
      </c>
      <c r="AT219" s="140" t="s">
        <v>180</v>
      </c>
      <c r="AU219" s="140" t="s">
        <v>87</v>
      </c>
      <c r="AY219" s="18" t="s">
        <v>177</v>
      </c>
      <c r="BE219" s="141">
        <f>IF(N219="základní",J219,0)</f>
        <v>0</v>
      </c>
      <c r="BF219" s="141">
        <f>IF(N219="snížená",J219,0)</f>
        <v>0</v>
      </c>
      <c r="BG219" s="141">
        <f>IF(N219="zákl. přenesená",J219,0)</f>
        <v>0</v>
      </c>
      <c r="BH219" s="141">
        <f>IF(N219="sníž. přenesená",J219,0)</f>
        <v>0</v>
      </c>
      <c r="BI219" s="141">
        <f>IF(N219="nulová",J219,0)</f>
        <v>0</v>
      </c>
      <c r="BJ219" s="18" t="s">
        <v>85</v>
      </c>
      <c r="BK219" s="141">
        <f>ROUND(I219*H219,2)</f>
        <v>0</v>
      </c>
      <c r="BL219" s="18" t="s">
        <v>185</v>
      </c>
      <c r="BM219" s="140" t="s">
        <v>2417</v>
      </c>
    </row>
    <row r="220" spans="2:47" s="1" customFormat="1" ht="39">
      <c r="B220" s="33"/>
      <c r="D220" s="142" t="s">
        <v>187</v>
      </c>
      <c r="F220" s="143" t="s">
        <v>2411</v>
      </c>
      <c r="I220" s="144"/>
      <c r="L220" s="33"/>
      <c r="M220" s="145"/>
      <c r="T220" s="54"/>
      <c r="AT220" s="18" t="s">
        <v>187</v>
      </c>
      <c r="AU220" s="18" t="s">
        <v>87</v>
      </c>
    </row>
    <row r="221" spans="2:47" s="1" customFormat="1" ht="11.25">
      <c r="B221" s="33"/>
      <c r="D221" s="146" t="s">
        <v>189</v>
      </c>
      <c r="F221" s="147" t="s">
        <v>2412</v>
      </c>
      <c r="I221" s="144"/>
      <c r="L221" s="33"/>
      <c r="M221" s="145"/>
      <c r="T221" s="54"/>
      <c r="AT221" s="18" t="s">
        <v>189</v>
      </c>
      <c r="AU221" s="18" t="s">
        <v>87</v>
      </c>
    </row>
    <row r="222" spans="2:47" s="1" customFormat="1" ht="273">
      <c r="B222" s="33"/>
      <c r="D222" s="142" t="s">
        <v>191</v>
      </c>
      <c r="F222" s="148" t="s">
        <v>2384</v>
      </c>
      <c r="I222" s="144"/>
      <c r="L222" s="33"/>
      <c r="M222" s="145"/>
      <c r="T222" s="54"/>
      <c r="AT222" s="18" t="s">
        <v>191</v>
      </c>
      <c r="AU222" s="18" t="s">
        <v>87</v>
      </c>
    </row>
    <row r="223" spans="2:51" s="13" customFormat="1" ht="11.25">
      <c r="B223" s="156"/>
      <c r="D223" s="142" t="s">
        <v>193</v>
      </c>
      <c r="E223" s="157" t="s">
        <v>3</v>
      </c>
      <c r="F223" s="158" t="s">
        <v>573</v>
      </c>
      <c r="H223" s="157" t="s">
        <v>3</v>
      </c>
      <c r="I223" s="159"/>
      <c r="L223" s="156"/>
      <c r="M223" s="160"/>
      <c r="T223" s="161"/>
      <c r="AT223" s="157" t="s">
        <v>193</v>
      </c>
      <c r="AU223" s="157" t="s">
        <v>87</v>
      </c>
      <c r="AV223" s="13" t="s">
        <v>85</v>
      </c>
      <c r="AW223" s="13" t="s">
        <v>36</v>
      </c>
      <c r="AX223" s="13" t="s">
        <v>77</v>
      </c>
      <c r="AY223" s="157" t="s">
        <v>177</v>
      </c>
    </row>
    <row r="224" spans="2:51" s="12" customFormat="1" ht="11.25">
      <c r="B224" s="149"/>
      <c r="D224" s="142" t="s">
        <v>193</v>
      </c>
      <c r="E224" s="150" t="s">
        <v>3</v>
      </c>
      <c r="F224" s="151" t="s">
        <v>2418</v>
      </c>
      <c r="H224" s="152">
        <v>8.4</v>
      </c>
      <c r="I224" s="153"/>
      <c r="L224" s="149"/>
      <c r="M224" s="154"/>
      <c r="T224" s="155"/>
      <c r="AT224" s="150" t="s">
        <v>193</v>
      </c>
      <c r="AU224" s="150" t="s">
        <v>87</v>
      </c>
      <c r="AV224" s="12" t="s">
        <v>87</v>
      </c>
      <c r="AW224" s="12" t="s">
        <v>36</v>
      </c>
      <c r="AX224" s="12" t="s">
        <v>77</v>
      </c>
      <c r="AY224" s="150" t="s">
        <v>177</v>
      </c>
    </row>
    <row r="225" spans="2:51" s="13" customFormat="1" ht="11.25">
      <c r="B225" s="156"/>
      <c r="D225" s="142" t="s">
        <v>193</v>
      </c>
      <c r="E225" s="157" t="s">
        <v>3</v>
      </c>
      <c r="F225" s="158" t="s">
        <v>2419</v>
      </c>
      <c r="H225" s="157" t="s">
        <v>3</v>
      </c>
      <c r="I225" s="159"/>
      <c r="L225" s="156"/>
      <c r="M225" s="160"/>
      <c r="T225" s="161"/>
      <c r="AT225" s="157" t="s">
        <v>193</v>
      </c>
      <c r="AU225" s="157" t="s">
        <v>87</v>
      </c>
      <c r="AV225" s="13" t="s">
        <v>85</v>
      </c>
      <c r="AW225" s="13" t="s">
        <v>36</v>
      </c>
      <c r="AX225" s="13" t="s">
        <v>77</v>
      </c>
      <c r="AY225" s="157" t="s">
        <v>177</v>
      </c>
    </row>
    <row r="226" spans="2:51" s="12" customFormat="1" ht="11.25">
      <c r="B226" s="149"/>
      <c r="D226" s="142" t="s">
        <v>193</v>
      </c>
      <c r="E226" s="150" t="s">
        <v>3</v>
      </c>
      <c r="F226" s="151" t="s">
        <v>2420</v>
      </c>
      <c r="H226" s="152">
        <v>39.117</v>
      </c>
      <c r="I226" s="153"/>
      <c r="L226" s="149"/>
      <c r="M226" s="154"/>
      <c r="T226" s="155"/>
      <c r="AT226" s="150" t="s">
        <v>193</v>
      </c>
      <c r="AU226" s="150" t="s">
        <v>87</v>
      </c>
      <c r="AV226" s="12" t="s">
        <v>87</v>
      </c>
      <c r="AW226" s="12" t="s">
        <v>36</v>
      </c>
      <c r="AX226" s="12" t="s">
        <v>77</v>
      </c>
      <c r="AY226" s="150" t="s">
        <v>177</v>
      </c>
    </row>
    <row r="227" spans="2:51" s="15" customFormat="1" ht="11.25">
      <c r="B227" s="169"/>
      <c r="D227" s="142" t="s">
        <v>193</v>
      </c>
      <c r="E227" s="170" t="s">
        <v>3</v>
      </c>
      <c r="F227" s="171" t="s">
        <v>201</v>
      </c>
      <c r="H227" s="172">
        <v>47.517</v>
      </c>
      <c r="I227" s="173"/>
      <c r="L227" s="169"/>
      <c r="M227" s="174"/>
      <c r="T227" s="175"/>
      <c r="AT227" s="170" t="s">
        <v>193</v>
      </c>
      <c r="AU227" s="170" t="s">
        <v>87</v>
      </c>
      <c r="AV227" s="15" t="s">
        <v>185</v>
      </c>
      <c r="AW227" s="15" t="s">
        <v>36</v>
      </c>
      <c r="AX227" s="15" t="s">
        <v>85</v>
      </c>
      <c r="AY227" s="170" t="s">
        <v>177</v>
      </c>
    </row>
    <row r="228" spans="2:65" s="1" customFormat="1" ht="24.2" customHeight="1">
      <c r="B228" s="128"/>
      <c r="C228" s="179" t="s">
        <v>496</v>
      </c>
      <c r="D228" s="179" t="s">
        <v>484</v>
      </c>
      <c r="E228" s="180" t="s">
        <v>2421</v>
      </c>
      <c r="F228" s="181" t="s">
        <v>2422</v>
      </c>
      <c r="G228" s="182" t="s">
        <v>332</v>
      </c>
      <c r="H228" s="183">
        <v>48.467</v>
      </c>
      <c r="I228" s="184"/>
      <c r="J228" s="185">
        <f>ROUND(I228*H228,2)</f>
        <v>0</v>
      </c>
      <c r="K228" s="181" t="s">
        <v>184</v>
      </c>
      <c r="L228" s="186"/>
      <c r="M228" s="187" t="s">
        <v>3</v>
      </c>
      <c r="N228" s="188" t="s">
        <v>48</v>
      </c>
      <c r="P228" s="138">
        <f>O228*H228</f>
        <v>0</v>
      </c>
      <c r="Q228" s="138">
        <v>0.0054</v>
      </c>
      <c r="R228" s="138">
        <f>Q228*H228</f>
        <v>0.2617218</v>
      </c>
      <c r="S228" s="138">
        <v>0</v>
      </c>
      <c r="T228" s="139">
        <f>S228*H228</f>
        <v>0</v>
      </c>
      <c r="AR228" s="140" t="s">
        <v>248</v>
      </c>
      <c r="AT228" s="140" t="s">
        <v>484</v>
      </c>
      <c r="AU228" s="140" t="s">
        <v>87</v>
      </c>
      <c r="AY228" s="18" t="s">
        <v>177</v>
      </c>
      <c r="BE228" s="141">
        <f>IF(N228="základní",J228,0)</f>
        <v>0</v>
      </c>
      <c r="BF228" s="141">
        <f>IF(N228="snížená",J228,0)</f>
        <v>0</v>
      </c>
      <c r="BG228" s="141">
        <f>IF(N228="zákl. přenesená",J228,0)</f>
        <v>0</v>
      </c>
      <c r="BH228" s="141">
        <f>IF(N228="sníž. přenesená",J228,0)</f>
        <v>0</v>
      </c>
      <c r="BI228" s="141">
        <f>IF(N228="nulová",J228,0)</f>
        <v>0</v>
      </c>
      <c r="BJ228" s="18" t="s">
        <v>85</v>
      </c>
      <c r="BK228" s="141">
        <f>ROUND(I228*H228,2)</f>
        <v>0</v>
      </c>
      <c r="BL228" s="18" t="s">
        <v>185</v>
      </c>
      <c r="BM228" s="140" t="s">
        <v>2423</v>
      </c>
    </row>
    <row r="229" spans="2:47" s="1" customFormat="1" ht="19.5">
      <c r="B229" s="33"/>
      <c r="D229" s="142" t="s">
        <v>187</v>
      </c>
      <c r="F229" s="143" t="s">
        <v>2424</v>
      </c>
      <c r="I229" s="144"/>
      <c r="L229" s="33"/>
      <c r="M229" s="145"/>
      <c r="T229" s="54"/>
      <c r="AT229" s="18" t="s">
        <v>187</v>
      </c>
      <c r="AU229" s="18" t="s">
        <v>87</v>
      </c>
    </row>
    <row r="230" spans="2:51" s="12" customFormat="1" ht="11.25">
      <c r="B230" s="149"/>
      <c r="D230" s="142" t="s">
        <v>193</v>
      </c>
      <c r="F230" s="151" t="s">
        <v>2425</v>
      </c>
      <c r="H230" s="152">
        <v>48.467</v>
      </c>
      <c r="I230" s="153"/>
      <c r="L230" s="149"/>
      <c r="M230" s="154"/>
      <c r="T230" s="155"/>
      <c r="AT230" s="150" t="s">
        <v>193</v>
      </c>
      <c r="AU230" s="150" t="s">
        <v>87</v>
      </c>
      <c r="AV230" s="12" t="s">
        <v>87</v>
      </c>
      <c r="AW230" s="12" t="s">
        <v>4</v>
      </c>
      <c r="AX230" s="12" t="s">
        <v>85</v>
      </c>
      <c r="AY230" s="150" t="s">
        <v>177</v>
      </c>
    </row>
    <row r="231" spans="2:65" s="1" customFormat="1" ht="49.15" customHeight="1">
      <c r="B231" s="128"/>
      <c r="C231" s="129" t="s">
        <v>502</v>
      </c>
      <c r="D231" s="129" t="s">
        <v>180</v>
      </c>
      <c r="E231" s="130" t="s">
        <v>2426</v>
      </c>
      <c r="F231" s="131" t="s">
        <v>2427</v>
      </c>
      <c r="G231" s="132" t="s">
        <v>332</v>
      </c>
      <c r="H231" s="133">
        <v>11.066</v>
      </c>
      <c r="I231" s="134"/>
      <c r="J231" s="135">
        <f>ROUND(I231*H231,2)</f>
        <v>0</v>
      </c>
      <c r="K231" s="131" t="s">
        <v>184</v>
      </c>
      <c r="L231" s="33"/>
      <c r="M231" s="136" t="s">
        <v>3</v>
      </c>
      <c r="N231" s="137" t="s">
        <v>48</v>
      </c>
      <c r="P231" s="138">
        <f>O231*H231</f>
        <v>0</v>
      </c>
      <c r="Q231" s="138">
        <v>0.01267696</v>
      </c>
      <c r="R231" s="138">
        <f>Q231*H231</f>
        <v>0.14028323936</v>
      </c>
      <c r="S231" s="138">
        <v>0</v>
      </c>
      <c r="T231" s="139">
        <f>S231*H231</f>
        <v>0</v>
      </c>
      <c r="AR231" s="140" t="s">
        <v>185</v>
      </c>
      <c r="AT231" s="140" t="s">
        <v>180</v>
      </c>
      <c r="AU231" s="140" t="s">
        <v>87</v>
      </c>
      <c r="AY231" s="18" t="s">
        <v>177</v>
      </c>
      <c r="BE231" s="141">
        <f>IF(N231="základní",J231,0)</f>
        <v>0</v>
      </c>
      <c r="BF231" s="141">
        <f>IF(N231="snížená",J231,0)</f>
        <v>0</v>
      </c>
      <c r="BG231" s="141">
        <f>IF(N231="zákl. přenesená",J231,0)</f>
        <v>0</v>
      </c>
      <c r="BH231" s="141">
        <f>IF(N231="sníž. přenesená",J231,0)</f>
        <v>0</v>
      </c>
      <c r="BI231" s="141">
        <f>IF(N231="nulová",J231,0)</f>
        <v>0</v>
      </c>
      <c r="BJ231" s="18" t="s">
        <v>85</v>
      </c>
      <c r="BK231" s="141">
        <f>ROUND(I231*H231,2)</f>
        <v>0</v>
      </c>
      <c r="BL231" s="18" t="s">
        <v>185</v>
      </c>
      <c r="BM231" s="140" t="s">
        <v>2428</v>
      </c>
    </row>
    <row r="232" spans="2:47" s="1" customFormat="1" ht="48.75">
      <c r="B232" s="33"/>
      <c r="D232" s="142" t="s">
        <v>187</v>
      </c>
      <c r="F232" s="143" t="s">
        <v>2429</v>
      </c>
      <c r="I232" s="144"/>
      <c r="L232" s="33"/>
      <c r="M232" s="145"/>
      <c r="T232" s="54"/>
      <c r="AT232" s="18" t="s">
        <v>187</v>
      </c>
      <c r="AU232" s="18" t="s">
        <v>87</v>
      </c>
    </row>
    <row r="233" spans="2:47" s="1" customFormat="1" ht="11.25">
      <c r="B233" s="33"/>
      <c r="D233" s="146" t="s">
        <v>189</v>
      </c>
      <c r="F233" s="147" t="s">
        <v>2430</v>
      </c>
      <c r="I233" s="144"/>
      <c r="L233" s="33"/>
      <c r="M233" s="145"/>
      <c r="T233" s="54"/>
      <c r="AT233" s="18" t="s">
        <v>189</v>
      </c>
      <c r="AU233" s="18" t="s">
        <v>87</v>
      </c>
    </row>
    <row r="234" spans="2:47" s="1" customFormat="1" ht="273">
      <c r="B234" s="33"/>
      <c r="D234" s="142" t="s">
        <v>191</v>
      </c>
      <c r="F234" s="148" t="s">
        <v>2384</v>
      </c>
      <c r="I234" s="144"/>
      <c r="L234" s="33"/>
      <c r="M234" s="145"/>
      <c r="T234" s="54"/>
      <c r="AT234" s="18" t="s">
        <v>191</v>
      </c>
      <c r="AU234" s="18" t="s">
        <v>87</v>
      </c>
    </row>
    <row r="235" spans="2:51" s="13" customFormat="1" ht="11.25">
      <c r="B235" s="156"/>
      <c r="D235" s="142" t="s">
        <v>193</v>
      </c>
      <c r="E235" s="157" t="s">
        <v>3</v>
      </c>
      <c r="F235" s="158" t="s">
        <v>2431</v>
      </c>
      <c r="H235" s="157" t="s">
        <v>3</v>
      </c>
      <c r="I235" s="159"/>
      <c r="L235" s="156"/>
      <c r="M235" s="160"/>
      <c r="T235" s="161"/>
      <c r="AT235" s="157" t="s">
        <v>193</v>
      </c>
      <c r="AU235" s="157" t="s">
        <v>87</v>
      </c>
      <c r="AV235" s="13" t="s">
        <v>85</v>
      </c>
      <c r="AW235" s="13" t="s">
        <v>36</v>
      </c>
      <c r="AX235" s="13" t="s">
        <v>77</v>
      </c>
      <c r="AY235" s="157" t="s">
        <v>177</v>
      </c>
    </row>
    <row r="236" spans="2:51" s="12" customFormat="1" ht="11.25">
      <c r="B236" s="149"/>
      <c r="D236" s="142" t="s">
        <v>193</v>
      </c>
      <c r="E236" s="150" t="s">
        <v>3</v>
      </c>
      <c r="F236" s="151" t="s">
        <v>2432</v>
      </c>
      <c r="H236" s="152">
        <v>11.066</v>
      </c>
      <c r="I236" s="153"/>
      <c r="L236" s="149"/>
      <c r="M236" s="154"/>
      <c r="T236" s="155"/>
      <c r="AT236" s="150" t="s">
        <v>193</v>
      </c>
      <c r="AU236" s="150" t="s">
        <v>87</v>
      </c>
      <c r="AV236" s="12" t="s">
        <v>87</v>
      </c>
      <c r="AW236" s="12" t="s">
        <v>36</v>
      </c>
      <c r="AX236" s="12" t="s">
        <v>85</v>
      </c>
      <c r="AY236" s="150" t="s">
        <v>177</v>
      </c>
    </row>
    <row r="237" spans="2:65" s="1" customFormat="1" ht="24.2" customHeight="1">
      <c r="B237" s="128"/>
      <c r="C237" s="179" t="s">
        <v>504</v>
      </c>
      <c r="D237" s="179" t="s">
        <v>484</v>
      </c>
      <c r="E237" s="180" t="s">
        <v>2433</v>
      </c>
      <c r="F237" s="181" t="s">
        <v>2434</v>
      </c>
      <c r="G237" s="182" t="s">
        <v>332</v>
      </c>
      <c r="H237" s="183">
        <v>12.173</v>
      </c>
      <c r="I237" s="184"/>
      <c r="J237" s="185">
        <f>ROUND(I237*H237,2)</f>
        <v>0</v>
      </c>
      <c r="K237" s="181" t="s">
        <v>184</v>
      </c>
      <c r="L237" s="186"/>
      <c r="M237" s="187" t="s">
        <v>3</v>
      </c>
      <c r="N237" s="188" t="s">
        <v>48</v>
      </c>
      <c r="P237" s="138">
        <f>O237*H237</f>
        <v>0</v>
      </c>
      <c r="Q237" s="138">
        <v>0.014</v>
      </c>
      <c r="R237" s="138">
        <f>Q237*H237</f>
        <v>0.17042200000000002</v>
      </c>
      <c r="S237" s="138">
        <v>0</v>
      </c>
      <c r="T237" s="139">
        <f>S237*H237</f>
        <v>0</v>
      </c>
      <c r="AR237" s="140" t="s">
        <v>248</v>
      </c>
      <c r="AT237" s="140" t="s">
        <v>484</v>
      </c>
      <c r="AU237" s="140" t="s">
        <v>87</v>
      </c>
      <c r="AY237" s="18" t="s">
        <v>177</v>
      </c>
      <c r="BE237" s="141">
        <f>IF(N237="základní",J237,0)</f>
        <v>0</v>
      </c>
      <c r="BF237" s="141">
        <f>IF(N237="snížená",J237,0)</f>
        <v>0</v>
      </c>
      <c r="BG237" s="141">
        <f>IF(N237="zákl. přenesená",J237,0)</f>
        <v>0</v>
      </c>
      <c r="BH237" s="141">
        <f>IF(N237="sníž. přenesená",J237,0)</f>
        <v>0</v>
      </c>
      <c r="BI237" s="141">
        <f>IF(N237="nulová",J237,0)</f>
        <v>0</v>
      </c>
      <c r="BJ237" s="18" t="s">
        <v>85</v>
      </c>
      <c r="BK237" s="141">
        <f>ROUND(I237*H237,2)</f>
        <v>0</v>
      </c>
      <c r="BL237" s="18" t="s">
        <v>185</v>
      </c>
      <c r="BM237" s="140" t="s">
        <v>2435</v>
      </c>
    </row>
    <row r="238" spans="2:47" s="1" customFormat="1" ht="19.5">
      <c r="B238" s="33"/>
      <c r="D238" s="142" t="s">
        <v>187</v>
      </c>
      <c r="F238" s="143" t="s">
        <v>2436</v>
      </c>
      <c r="I238" s="144"/>
      <c r="L238" s="33"/>
      <c r="M238" s="145"/>
      <c r="T238" s="54"/>
      <c r="AT238" s="18" t="s">
        <v>187</v>
      </c>
      <c r="AU238" s="18" t="s">
        <v>87</v>
      </c>
    </row>
    <row r="239" spans="2:51" s="12" customFormat="1" ht="11.25">
      <c r="B239" s="149"/>
      <c r="D239" s="142" t="s">
        <v>193</v>
      </c>
      <c r="F239" s="151" t="s">
        <v>2437</v>
      </c>
      <c r="H239" s="152">
        <v>12.173</v>
      </c>
      <c r="I239" s="153"/>
      <c r="L239" s="149"/>
      <c r="M239" s="154"/>
      <c r="T239" s="155"/>
      <c r="AT239" s="150" t="s">
        <v>193</v>
      </c>
      <c r="AU239" s="150" t="s">
        <v>87</v>
      </c>
      <c r="AV239" s="12" t="s">
        <v>87</v>
      </c>
      <c r="AW239" s="12" t="s">
        <v>4</v>
      </c>
      <c r="AX239" s="12" t="s">
        <v>85</v>
      </c>
      <c r="AY239" s="150" t="s">
        <v>177</v>
      </c>
    </row>
    <row r="240" spans="2:65" s="1" customFormat="1" ht="49.15" customHeight="1">
      <c r="B240" s="128"/>
      <c r="C240" s="129" t="s">
        <v>507</v>
      </c>
      <c r="D240" s="129" t="s">
        <v>180</v>
      </c>
      <c r="E240" s="130" t="s">
        <v>2438</v>
      </c>
      <c r="F240" s="131" t="s">
        <v>2439</v>
      </c>
      <c r="G240" s="132" t="s">
        <v>332</v>
      </c>
      <c r="H240" s="133">
        <v>413.331</v>
      </c>
      <c r="I240" s="134"/>
      <c r="J240" s="135">
        <f>ROUND(I240*H240,2)</f>
        <v>0</v>
      </c>
      <c r="K240" s="131" t="s">
        <v>184</v>
      </c>
      <c r="L240" s="33"/>
      <c r="M240" s="136" t="s">
        <v>3</v>
      </c>
      <c r="N240" s="137" t="s">
        <v>48</v>
      </c>
      <c r="P240" s="138">
        <f>O240*H240</f>
        <v>0</v>
      </c>
      <c r="Q240" s="138">
        <v>0.01275696</v>
      </c>
      <c r="R240" s="138">
        <f>Q240*H240</f>
        <v>5.27284703376</v>
      </c>
      <c r="S240" s="138">
        <v>0</v>
      </c>
      <c r="T240" s="139">
        <f>S240*H240</f>
        <v>0</v>
      </c>
      <c r="AR240" s="140" t="s">
        <v>185</v>
      </c>
      <c r="AT240" s="140" t="s">
        <v>180</v>
      </c>
      <c r="AU240" s="140" t="s">
        <v>87</v>
      </c>
      <c r="AY240" s="18" t="s">
        <v>177</v>
      </c>
      <c r="BE240" s="141">
        <f>IF(N240="základní",J240,0)</f>
        <v>0</v>
      </c>
      <c r="BF240" s="141">
        <f>IF(N240="snížená",J240,0)</f>
        <v>0</v>
      </c>
      <c r="BG240" s="141">
        <f>IF(N240="zákl. přenesená",J240,0)</f>
        <v>0</v>
      </c>
      <c r="BH240" s="141">
        <f>IF(N240="sníž. přenesená",J240,0)</f>
        <v>0</v>
      </c>
      <c r="BI240" s="141">
        <f>IF(N240="nulová",J240,0)</f>
        <v>0</v>
      </c>
      <c r="BJ240" s="18" t="s">
        <v>85</v>
      </c>
      <c r="BK240" s="141">
        <f>ROUND(I240*H240,2)</f>
        <v>0</v>
      </c>
      <c r="BL240" s="18" t="s">
        <v>185</v>
      </c>
      <c r="BM240" s="140" t="s">
        <v>2440</v>
      </c>
    </row>
    <row r="241" spans="2:47" s="1" customFormat="1" ht="48.75">
      <c r="B241" s="33"/>
      <c r="D241" s="142" t="s">
        <v>187</v>
      </c>
      <c r="F241" s="143" t="s">
        <v>2441</v>
      </c>
      <c r="I241" s="144"/>
      <c r="L241" s="33"/>
      <c r="M241" s="145"/>
      <c r="T241" s="54"/>
      <c r="AT241" s="18" t="s">
        <v>187</v>
      </c>
      <c r="AU241" s="18" t="s">
        <v>87</v>
      </c>
    </row>
    <row r="242" spans="2:47" s="1" customFormat="1" ht="11.25">
      <c r="B242" s="33"/>
      <c r="D242" s="146" t="s">
        <v>189</v>
      </c>
      <c r="F242" s="147" t="s">
        <v>2442</v>
      </c>
      <c r="I242" s="144"/>
      <c r="L242" s="33"/>
      <c r="M242" s="145"/>
      <c r="T242" s="54"/>
      <c r="AT242" s="18" t="s">
        <v>189</v>
      </c>
      <c r="AU242" s="18" t="s">
        <v>87</v>
      </c>
    </row>
    <row r="243" spans="2:47" s="1" customFormat="1" ht="273">
      <c r="B243" s="33"/>
      <c r="D243" s="142" t="s">
        <v>191</v>
      </c>
      <c r="F243" s="148" t="s">
        <v>2384</v>
      </c>
      <c r="I243" s="144"/>
      <c r="L243" s="33"/>
      <c r="M243" s="145"/>
      <c r="T243" s="54"/>
      <c r="AT243" s="18" t="s">
        <v>191</v>
      </c>
      <c r="AU243" s="18" t="s">
        <v>87</v>
      </c>
    </row>
    <row r="244" spans="2:51" s="12" customFormat="1" ht="11.25">
      <c r="B244" s="149"/>
      <c r="D244" s="142" t="s">
        <v>193</v>
      </c>
      <c r="E244" s="150" t="s">
        <v>3</v>
      </c>
      <c r="F244" s="151" t="s">
        <v>2443</v>
      </c>
      <c r="H244" s="152">
        <v>245</v>
      </c>
      <c r="I244" s="153"/>
      <c r="L244" s="149"/>
      <c r="M244" s="154"/>
      <c r="T244" s="155"/>
      <c r="AT244" s="150" t="s">
        <v>193</v>
      </c>
      <c r="AU244" s="150" t="s">
        <v>87</v>
      </c>
      <c r="AV244" s="12" t="s">
        <v>87</v>
      </c>
      <c r="AW244" s="12" t="s">
        <v>36</v>
      </c>
      <c r="AX244" s="12" t="s">
        <v>77</v>
      </c>
      <c r="AY244" s="150" t="s">
        <v>177</v>
      </c>
    </row>
    <row r="245" spans="2:51" s="12" customFormat="1" ht="11.25">
      <c r="B245" s="149"/>
      <c r="D245" s="142" t="s">
        <v>193</v>
      </c>
      <c r="E245" s="150" t="s">
        <v>3</v>
      </c>
      <c r="F245" s="151" t="s">
        <v>2444</v>
      </c>
      <c r="H245" s="152">
        <v>136.791</v>
      </c>
      <c r="I245" s="153"/>
      <c r="L245" s="149"/>
      <c r="M245" s="154"/>
      <c r="T245" s="155"/>
      <c r="AT245" s="150" t="s">
        <v>193</v>
      </c>
      <c r="AU245" s="150" t="s">
        <v>87</v>
      </c>
      <c r="AV245" s="12" t="s">
        <v>87</v>
      </c>
      <c r="AW245" s="12" t="s">
        <v>36</v>
      </c>
      <c r="AX245" s="12" t="s">
        <v>77</v>
      </c>
      <c r="AY245" s="150" t="s">
        <v>177</v>
      </c>
    </row>
    <row r="246" spans="2:51" s="12" customFormat="1" ht="11.25">
      <c r="B246" s="149"/>
      <c r="D246" s="142" t="s">
        <v>193</v>
      </c>
      <c r="E246" s="150" t="s">
        <v>3</v>
      </c>
      <c r="F246" s="151" t="s">
        <v>2445</v>
      </c>
      <c r="H246" s="152">
        <v>95</v>
      </c>
      <c r="I246" s="153"/>
      <c r="L246" s="149"/>
      <c r="M246" s="154"/>
      <c r="T246" s="155"/>
      <c r="AT246" s="150" t="s">
        <v>193</v>
      </c>
      <c r="AU246" s="150" t="s">
        <v>87</v>
      </c>
      <c r="AV246" s="12" t="s">
        <v>87</v>
      </c>
      <c r="AW246" s="12" t="s">
        <v>36</v>
      </c>
      <c r="AX246" s="12" t="s">
        <v>77</v>
      </c>
      <c r="AY246" s="150" t="s">
        <v>177</v>
      </c>
    </row>
    <row r="247" spans="2:51" s="12" customFormat="1" ht="11.25">
      <c r="B247" s="149"/>
      <c r="D247" s="142" t="s">
        <v>193</v>
      </c>
      <c r="E247" s="150" t="s">
        <v>3</v>
      </c>
      <c r="F247" s="151" t="s">
        <v>2446</v>
      </c>
      <c r="H247" s="152">
        <v>70.58</v>
      </c>
      <c r="I247" s="153"/>
      <c r="L247" s="149"/>
      <c r="M247" s="154"/>
      <c r="T247" s="155"/>
      <c r="AT247" s="150" t="s">
        <v>193</v>
      </c>
      <c r="AU247" s="150" t="s">
        <v>87</v>
      </c>
      <c r="AV247" s="12" t="s">
        <v>87</v>
      </c>
      <c r="AW247" s="12" t="s">
        <v>36</v>
      </c>
      <c r="AX247" s="12" t="s">
        <v>77</v>
      </c>
      <c r="AY247" s="150" t="s">
        <v>177</v>
      </c>
    </row>
    <row r="248" spans="2:51" s="14" customFormat="1" ht="11.25">
      <c r="B248" s="162"/>
      <c r="D248" s="142" t="s">
        <v>193</v>
      </c>
      <c r="E248" s="163" t="s">
        <v>3</v>
      </c>
      <c r="F248" s="164" t="s">
        <v>197</v>
      </c>
      <c r="H248" s="165">
        <v>547.371</v>
      </c>
      <c r="I248" s="166"/>
      <c r="L248" s="162"/>
      <c r="M248" s="167"/>
      <c r="T248" s="168"/>
      <c r="AT248" s="163" t="s">
        <v>193</v>
      </c>
      <c r="AU248" s="163" t="s">
        <v>87</v>
      </c>
      <c r="AV248" s="14" t="s">
        <v>198</v>
      </c>
      <c r="AW248" s="14" t="s">
        <v>36</v>
      </c>
      <c r="AX248" s="14" t="s">
        <v>77</v>
      </c>
      <c r="AY248" s="163" t="s">
        <v>177</v>
      </c>
    </row>
    <row r="249" spans="2:51" s="12" customFormat="1" ht="11.25">
      <c r="B249" s="149"/>
      <c r="D249" s="142" t="s">
        <v>193</v>
      </c>
      <c r="E249" s="150" t="s">
        <v>3</v>
      </c>
      <c r="F249" s="151" t="s">
        <v>2447</v>
      </c>
      <c r="H249" s="152">
        <v>-60.6</v>
      </c>
      <c r="I249" s="153"/>
      <c r="L249" s="149"/>
      <c r="M249" s="154"/>
      <c r="T249" s="155"/>
      <c r="AT249" s="150" t="s">
        <v>193</v>
      </c>
      <c r="AU249" s="150" t="s">
        <v>87</v>
      </c>
      <c r="AV249" s="12" t="s">
        <v>87</v>
      </c>
      <c r="AW249" s="12" t="s">
        <v>36</v>
      </c>
      <c r="AX249" s="12" t="s">
        <v>77</v>
      </c>
      <c r="AY249" s="150" t="s">
        <v>177</v>
      </c>
    </row>
    <row r="250" spans="2:51" s="12" customFormat="1" ht="11.25">
      <c r="B250" s="149"/>
      <c r="D250" s="142" t="s">
        <v>193</v>
      </c>
      <c r="E250" s="150" t="s">
        <v>3</v>
      </c>
      <c r="F250" s="151" t="s">
        <v>2448</v>
      </c>
      <c r="H250" s="152">
        <v>-73.44</v>
      </c>
      <c r="I250" s="153"/>
      <c r="L250" s="149"/>
      <c r="M250" s="154"/>
      <c r="T250" s="155"/>
      <c r="AT250" s="150" t="s">
        <v>193</v>
      </c>
      <c r="AU250" s="150" t="s">
        <v>87</v>
      </c>
      <c r="AV250" s="12" t="s">
        <v>87</v>
      </c>
      <c r="AW250" s="12" t="s">
        <v>36</v>
      </c>
      <c r="AX250" s="12" t="s">
        <v>77</v>
      </c>
      <c r="AY250" s="150" t="s">
        <v>177</v>
      </c>
    </row>
    <row r="251" spans="2:51" s="14" customFormat="1" ht="11.25">
      <c r="B251" s="162"/>
      <c r="D251" s="142" t="s">
        <v>193</v>
      </c>
      <c r="E251" s="163" t="s">
        <v>3</v>
      </c>
      <c r="F251" s="164" t="s">
        <v>197</v>
      </c>
      <c r="H251" s="165">
        <v>-134.04</v>
      </c>
      <c r="I251" s="166"/>
      <c r="L251" s="162"/>
      <c r="M251" s="167"/>
      <c r="T251" s="168"/>
      <c r="AT251" s="163" t="s">
        <v>193</v>
      </c>
      <c r="AU251" s="163" t="s">
        <v>87</v>
      </c>
      <c r="AV251" s="14" t="s">
        <v>198</v>
      </c>
      <c r="AW251" s="14" t="s">
        <v>36</v>
      </c>
      <c r="AX251" s="14" t="s">
        <v>77</v>
      </c>
      <c r="AY251" s="163" t="s">
        <v>177</v>
      </c>
    </row>
    <row r="252" spans="2:51" s="15" customFormat="1" ht="11.25">
      <c r="B252" s="169"/>
      <c r="D252" s="142" t="s">
        <v>193</v>
      </c>
      <c r="E252" s="170" t="s">
        <v>3</v>
      </c>
      <c r="F252" s="171" t="s">
        <v>201</v>
      </c>
      <c r="H252" s="172">
        <v>413.33099999999996</v>
      </c>
      <c r="I252" s="173"/>
      <c r="L252" s="169"/>
      <c r="M252" s="174"/>
      <c r="T252" s="175"/>
      <c r="AT252" s="170" t="s">
        <v>193</v>
      </c>
      <c r="AU252" s="170" t="s">
        <v>87</v>
      </c>
      <c r="AV252" s="15" t="s">
        <v>185</v>
      </c>
      <c r="AW252" s="15" t="s">
        <v>36</v>
      </c>
      <c r="AX252" s="15" t="s">
        <v>85</v>
      </c>
      <c r="AY252" s="170" t="s">
        <v>177</v>
      </c>
    </row>
    <row r="253" spans="2:65" s="1" customFormat="1" ht="24.2" customHeight="1">
      <c r="B253" s="128"/>
      <c r="C253" s="179" t="s">
        <v>509</v>
      </c>
      <c r="D253" s="179" t="s">
        <v>484</v>
      </c>
      <c r="E253" s="180" t="s">
        <v>2449</v>
      </c>
      <c r="F253" s="181" t="s">
        <v>2450</v>
      </c>
      <c r="G253" s="182" t="s">
        <v>332</v>
      </c>
      <c r="H253" s="183">
        <v>454.664</v>
      </c>
      <c r="I253" s="184"/>
      <c r="J253" s="185">
        <f>ROUND(I253*H253,2)</f>
        <v>0</v>
      </c>
      <c r="K253" s="181" t="s">
        <v>184</v>
      </c>
      <c r="L253" s="186"/>
      <c r="M253" s="187" t="s">
        <v>3</v>
      </c>
      <c r="N253" s="188" t="s">
        <v>48</v>
      </c>
      <c r="P253" s="138">
        <f>O253*H253</f>
        <v>0</v>
      </c>
      <c r="Q253" s="138">
        <v>0.02</v>
      </c>
      <c r="R253" s="138">
        <f>Q253*H253</f>
        <v>9.09328</v>
      </c>
      <c r="S253" s="138">
        <v>0</v>
      </c>
      <c r="T253" s="139">
        <f>S253*H253</f>
        <v>0</v>
      </c>
      <c r="AR253" s="140" t="s">
        <v>248</v>
      </c>
      <c r="AT253" s="140" t="s">
        <v>484</v>
      </c>
      <c r="AU253" s="140" t="s">
        <v>87</v>
      </c>
      <c r="AY253" s="18" t="s">
        <v>177</v>
      </c>
      <c r="BE253" s="141">
        <f>IF(N253="základní",J253,0)</f>
        <v>0</v>
      </c>
      <c r="BF253" s="141">
        <f>IF(N253="snížená",J253,0)</f>
        <v>0</v>
      </c>
      <c r="BG253" s="141">
        <f>IF(N253="zákl. přenesená",J253,0)</f>
        <v>0</v>
      </c>
      <c r="BH253" s="141">
        <f>IF(N253="sníž. přenesená",J253,0)</f>
        <v>0</v>
      </c>
      <c r="BI253" s="141">
        <f>IF(N253="nulová",J253,0)</f>
        <v>0</v>
      </c>
      <c r="BJ253" s="18" t="s">
        <v>85</v>
      </c>
      <c r="BK253" s="141">
        <f>ROUND(I253*H253,2)</f>
        <v>0</v>
      </c>
      <c r="BL253" s="18" t="s">
        <v>185</v>
      </c>
      <c r="BM253" s="140" t="s">
        <v>2451</v>
      </c>
    </row>
    <row r="254" spans="2:47" s="1" customFormat="1" ht="19.5">
      <c r="B254" s="33"/>
      <c r="D254" s="142" t="s">
        <v>187</v>
      </c>
      <c r="F254" s="143" t="s">
        <v>2452</v>
      </c>
      <c r="I254" s="144"/>
      <c r="L254" s="33"/>
      <c r="M254" s="145"/>
      <c r="T254" s="54"/>
      <c r="AT254" s="18" t="s">
        <v>187</v>
      </c>
      <c r="AU254" s="18" t="s">
        <v>87</v>
      </c>
    </row>
    <row r="255" spans="2:51" s="12" customFormat="1" ht="11.25">
      <c r="B255" s="149"/>
      <c r="D255" s="142" t="s">
        <v>193</v>
      </c>
      <c r="F255" s="151" t="s">
        <v>2453</v>
      </c>
      <c r="H255" s="152">
        <v>454.664</v>
      </c>
      <c r="I255" s="153"/>
      <c r="L255" s="149"/>
      <c r="M255" s="154"/>
      <c r="T255" s="155"/>
      <c r="AT255" s="150" t="s">
        <v>193</v>
      </c>
      <c r="AU255" s="150" t="s">
        <v>87</v>
      </c>
      <c r="AV255" s="12" t="s">
        <v>87</v>
      </c>
      <c r="AW255" s="12" t="s">
        <v>4</v>
      </c>
      <c r="AX255" s="12" t="s">
        <v>85</v>
      </c>
      <c r="AY255" s="150" t="s">
        <v>177</v>
      </c>
    </row>
    <row r="256" spans="2:65" s="1" customFormat="1" ht="37.9" customHeight="1">
      <c r="B256" s="128"/>
      <c r="C256" s="129" t="s">
        <v>512</v>
      </c>
      <c r="D256" s="129" t="s">
        <v>180</v>
      </c>
      <c r="E256" s="130" t="s">
        <v>2454</v>
      </c>
      <c r="F256" s="131" t="s">
        <v>2455</v>
      </c>
      <c r="G256" s="132" t="s">
        <v>476</v>
      </c>
      <c r="H256" s="133">
        <v>236.4</v>
      </c>
      <c r="I256" s="134"/>
      <c r="J256" s="135">
        <f>ROUND(I256*H256,2)</f>
        <v>0</v>
      </c>
      <c r="K256" s="131" t="s">
        <v>184</v>
      </c>
      <c r="L256" s="33"/>
      <c r="M256" s="136" t="s">
        <v>3</v>
      </c>
      <c r="N256" s="137" t="s">
        <v>48</v>
      </c>
      <c r="P256" s="138">
        <f>O256*H256</f>
        <v>0</v>
      </c>
      <c r="Q256" s="138">
        <v>0.00339</v>
      </c>
      <c r="R256" s="138">
        <f>Q256*H256</f>
        <v>0.801396</v>
      </c>
      <c r="S256" s="138">
        <v>0</v>
      </c>
      <c r="T256" s="139">
        <f>S256*H256</f>
        <v>0</v>
      </c>
      <c r="AR256" s="140" t="s">
        <v>185</v>
      </c>
      <c r="AT256" s="140" t="s">
        <v>180</v>
      </c>
      <c r="AU256" s="140" t="s">
        <v>87</v>
      </c>
      <c r="AY256" s="18" t="s">
        <v>177</v>
      </c>
      <c r="BE256" s="141">
        <f>IF(N256="základní",J256,0)</f>
        <v>0</v>
      </c>
      <c r="BF256" s="141">
        <f>IF(N256="snížená",J256,0)</f>
        <v>0</v>
      </c>
      <c r="BG256" s="141">
        <f>IF(N256="zákl. přenesená",J256,0)</f>
        <v>0</v>
      </c>
      <c r="BH256" s="141">
        <f>IF(N256="sníž. přenesená",J256,0)</f>
        <v>0</v>
      </c>
      <c r="BI256" s="141">
        <f>IF(N256="nulová",J256,0)</f>
        <v>0</v>
      </c>
      <c r="BJ256" s="18" t="s">
        <v>85</v>
      </c>
      <c r="BK256" s="141">
        <f>ROUND(I256*H256,2)</f>
        <v>0</v>
      </c>
      <c r="BL256" s="18" t="s">
        <v>185</v>
      </c>
      <c r="BM256" s="140" t="s">
        <v>2456</v>
      </c>
    </row>
    <row r="257" spans="2:47" s="1" customFormat="1" ht="39">
      <c r="B257" s="33"/>
      <c r="D257" s="142" t="s">
        <v>187</v>
      </c>
      <c r="F257" s="143" t="s">
        <v>2457</v>
      </c>
      <c r="I257" s="144"/>
      <c r="L257" s="33"/>
      <c r="M257" s="145"/>
      <c r="T257" s="54"/>
      <c r="AT257" s="18" t="s">
        <v>187</v>
      </c>
      <c r="AU257" s="18" t="s">
        <v>87</v>
      </c>
    </row>
    <row r="258" spans="2:47" s="1" customFormat="1" ht="11.25">
      <c r="B258" s="33"/>
      <c r="D258" s="146" t="s">
        <v>189</v>
      </c>
      <c r="F258" s="147" t="s">
        <v>2458</v>
      </c>
      <c r="I258" s="144"/>
      <c r="L258" s="33"/>
      <c r="M258" s="145"/>
      <c r="T258" s="54"/>
      <c r="AT258" s="18" t="s">
        <v>189</v>
      </c>
      <c r="AU258" s="18" t="s">
        <v>87</v>
      </c>
    </row>
    <row r="259" spans="2:47" s="1" customFormat="1" ht="175.5">
      <c r="B259" s="33"/>
      <c r="D259" s="142" t="s">
        <v>191</v>
      </c>
      <c r="F259" s="148" t="s">
        <v>2459</v>
      </c>
      <c r="I259" s="144"/>
      <c r="L259" s="33"/>
      <c r="M259" s="145"/>
      <c r="T259" s="54"/>
      <c r="AT259" s="18" t="s">
        <v>191</v>
      </c>
      <c r="AU259" s="18" t="s">
        <v>87</v>
      </c>
    </row>
    <row r="260" spans="2:51" s="13" customFormat="1" ht="11.25">
      <c r="B260" s="156"/>
      <c r="D260" s="142" t="s">
        <v>193</v>
      </c>
      <c r="E260" s="157" t="s">
        <v>3</v>
      </c>
      <c r="F260" s="158" t="s">
        <v>582</v>
      </c>
      <c r="H260" s="157" t="s">
        <v>3</v>
      </c>
      <c r="I260" s="159"/>
      <c r="L260" s="156"/>
      <c r="M260" s="160"/>
      <c r="T260" s="161"/>
      <c r="AT260" s="157" t="s">
        <v>193</v>
      </c>
      <c r="AU260" s="157" t="s">
        <v>87</v>
      </c>
      <c r="AV260" s="13" t="s">
        <v>85</v>
      </c>
      <c r="AW260" s="13" t="s">
        <v>36</v>
      </c>
      <c r="AX260" s="13" t="s">
        <v>77</v>
      </c>
      <c r="AY260" s="157" t="s">
        <v>177</v>
      </c>
    </row>
    <row r="261" spans="2:51" s="12" customFormat="1" ht="11.25">
      <c r="B261" s="149"/>
      <c r="D261" s="142" t="s">
        <v>193</v>
      </c>
      <c r="E261" s="150" t="s">
        <v>3</v>
      </c>
      <c r="F261" s="151" t="s">
        <v>2460</v>
      </c>
      <c r="H261" s="152">
        <v>76.8</v>
      </c>
      <c r="I261" s="153"/>
      <c r="L261" s="149"/>
      <c r="M261" s="154"/>
      <c r="T261" s="155"/>
      <c r="AT261" s="150" t="s">
        <v>193</v>
      </c>
      <c r="AU261" s="150" t="s">
        <v>87</v>
      </c>
      <c r="AV261" s="12" t="s">
        <v>87</v>
      </c>
      <c r="AW261" s="12" t="s">
        <v>36</v>
      </c>
      <c r="AX261" s="12" t="s">
        <v>77</v>
      </c>
      <c r="AY261" s="150" t="s">
        <v>177</v>
      </c>
    </row>
    <row r="262" spans="2:51" s="12" customFormat="1" ht="11.25">
      <c r="B262" s="149"/>
      <c r="D262" s="142" t="s">
        <v>193</v>
      </c>
      <c r="E262" s="150" t="s">
        <v>3</v>
      </c>
      <c r="F262" s="151" t="s">
        <v>2461</v>
      </c>
      <c r="H262" s="152">
        <v>28.2</v>
      </c>
      <c r="I262" s="153"/>
      <c r="L262" s="149"/>
      <c r="M262" s="154"/>
      <c r="T262" s="155"/>
      <c r="AT262" s="150" t="s">
        <v>193</v>
      </c>
      <c r="AU262" s="150" t="s">
        <v>87</v>
      </c>
      <c r="AV262" s="12" t="s">
        <v>87</v>
      </c>
      <c r="AW262" s="12" t="s">
        <v>36</v>
      </c>
      <c r="AX262" s="12" t="s">
        <v>77</v>
      </c>
      <c r="AY262" s="150" t="s">
        <v>177</v>
      </c>
    </row>
    <row r="263" spans="2:51" s="12" customFormat="1" ht="11.25">
      <c r="B263" s="149"/>
      <c r="D263" s="142" t="s">
        <v>193</v>
      </c>
      <c r="E263" s="150" t="s">
        <v>3</v>
      </c>
      <c r="F263" s="151" t="s">
        <v>2462</v>
      </c>
      <c r="H263" s="152">
        <v>86.4</v>
      </c>
      <c r="I263" s="153"/>
      <c r="L263" s="149"/>
      <c r="M263" s="154"/>
      <c r="T263" s="155"/>
      <c r="AT263" s="150" t="s">
        <v>193</v>
      </c>
      <c r="AU263" s="150" t="s">
        <v>87</v>
      </c>
      <c r="AV263" s="12" t="s">
        <v>87</v>
      </c>
      <c r="AW263" s="12" t="s">
        <v>36</v>
      </c>
      <c r="AX263" s="12" t="s">
        <v>77</v>
      </c>
      <c r="AY263" s="150" t="s">
        <v>177</v>
      </c>
    </row>
    <row r="264" spans="2:51" s="12" customFormat="1" ht="11.25">
      <c r="B264" s="149"/>
      <c r="D264" s="142" t="s">
        <v>193</v>
      </c>
      <c r="E264" s="150" t="s">
        <v>3</v>
      </c>
      <c r="F264" s="151" t="s">
        <v>2463</v>
      </c>
      <c r="H264" s="152">
        <v>24</v>
      </c>
      <c r="I264" s="153"/>
      <c r="L264" s="149"/>
      <c r="M264" s="154"/>
      <c r="T264" s="155"/>
      <c r="AT264" s="150" t="s">
        <v>193</v>
      </c>
      <c r="AU264" s="150" t="s">
        <v>87</v>
      </c>
      <c r="AV264" s="12" t="s">
        <v>87</v>
      </c>
      <c r="AW264" s="12" t="s">
        <v>36</v>
      </c>
      <c r="AX264" s="12" t="s">
        <v>77</v>
      </c>
      <c r="AY264" s="150" t="s">
        <v>177</v>
      </c>
    </row>
    <row r="265" spans="2:51" s="12" customFormat="1" ht="11.25">
      <c r="B265" s="149"/>
      <c r="D265" s="142" t="s">
        <v>193</v>
      </c>
      <c r="E265" s="150" t="s">
        <v>3</v>
      </c>
      <c r="F265" s="151" t="s">
        <v>2464</v>
      </c>
      <c r="H265" s="152">
        <v>8.4</v>
      </c>
      <c r="I265" s="153"/>
      <c r="L265" s="149"/>
      <c r="M265" s="154"/>
      <c r="T265" s="155"/>
      <c r="AT265" s="150" t="s">
        <v>193</v>
      </c>
      <c r="AU265" s="150" t="s">
        <v>87</v>
      </c>
      <c r="AV265" s="12" t="s">
        <v>87</v>
      </c>
      <c r="AW265" s="12" t="s">
        <v>36</v>
      </c>
      <c r="AX265" s="12" t="s">
        <v>77</v>
      </c>
      <c r="AY265" s="150" t="s">
        <v>177</v>
      </c>
    </row>
    <row r="266" spans="2:51" s="13" customFormat="1" ht="11.25">
      <c r="B266" s="156"/>
      <c r="D266" s="142" t="s">
        <v>193</v>
      </c>
      <c r="E266" s="157" t="s">
        <v>3</v>
      </c>
      <c r="F266" s="158" t="s">
        <v>1485</v>
      </c>
      <c r="H266" s="157" t="s">
        <v>3</v>
      </c>
      <c r="I266" s="159"/>
      <c r="L266" s="156"/>
      <c r="M266" s="160"/>
      <c r="T266" s="161"/>
      <c r="AT266" s="157" t="s">
        <v>193</v>
      </c>
      <c r="AU266" s="157" t="s">
        <v>87</v>
      </c>
      <c r="AV266" s="13" t="s">
        <v>85</v>
      </c>
      <c r="AW266" s="13" t="s">
        <v>36</v>
      </c>
      <c r="AX266" s="13" t="s">
        <v>77</v>
      </c>
      <c r="AY266" s="157" t="s">
        <v>177</v>
      </c>
    </row>
    <row r="267" spans="2:51" s="12" customFormat="1" ht="11.25">
      <c r="B267" s="149"/>
      <c r="D267" s="142" t="s">
        <v>193</v>
      </c>
      <c r="E267" s="150" t="s">
        <v>3</v>
      </c>
      <c r="F267" s="151" t="s">
        <v>2465</v>
      </c>
      <c r="H267" s="152">
        <v>5.3</v>
      </c>
      <c r="I267" s="153"/>
      <c r="L267" s="149"/>
      <c r="M267" s="154"/>
      <c r="T267" s="155"/>
      <c r="AT267" s="150" t="s">
        <v>193</v>
      </c>
      <c r="AU267" s="150" t="s">
        <v>87</v>
      </c>
      <c r="AV267" s="12" t="s">
        <v>87</v>
      </c>
      <c r="AW267" s="12" t="s">
        <v>36</v>
      </c>
      <c r="AX267" s="12" t="s">
        <v>77</v>
      </c>
      <c r="AY267" s="150" t="s">
        <v>177</v>
      </c>
    </row>
    <row r="268" spans="2:51" s="12" customFormat="1" ht="11.25">
      <c r="B268" s="149"/>
      <c r="D268" s="142" t="s">
        <v>193</v>
      </c>
      <c r="E268" s="150" t="s">
        <v>3</v>
      </c>
      <c r="F268" s="151" t="s">
        <v>2466</v>
      </c>
      <c r="H268" s="152">
        <v>7.3</v>
      </c>
      <c r="I268" s="153"/>
      <c r="L268" s="149"/>
      <c r="M268" s="154"/>
      <c r="T268" s="155"/>
      <c r="AT268" s="150" t="s">
        <v>193</v>
      </c>
      <c r="AU268" s="150" t="s">
        <v>87</v>
      </c>
      <c r="AV268" s="12" t="s">
        <v>87</v>
      </c>
      <c r="AW268" s="12" t="s">
        <v>36</v>
      </c>
      <c r="AX268" s="12" t="s">
        <v>77</v>
      </c>
      <c r="AY268" s="150" t="s">
        <v>177</v>
      </c>
    </row>
    <row r="269" spans="2:51" s="15" customFormat="1" ht="11.25">
      <c r="B269" s="169"/>
      <c r="D269" s="142" t="s">
        <v>193</v>
      </c>
      <c r="E269" s="170" t="s">
        <v>3</v>
      </c>
      <c r="F269" s="171" t="s">
        <v>201</v>
      </c>
      <c r="H269" s="172">
        <v>236.4</v>
      </c>
      <c r="I269" s="173"/>
      <c r="L269" s="169"/>
      <c r="M269" s="174"/>
      <c r="T269" s="175"/>
      <c r="AT269" s="170" t="s">
        <v>193</v>
      </c>
      <c r="AU269" s="170" t="s">
        <v>87</v>
      </c>
      <c r="AV269" s="15" t="s">
        <v>185</v>
      </c>
      <c r="AW269" s="15" t="s">
        <v>36</v>
      </c>
      <c r="AX269" s="15" t="s">
        <v>85</v>
      </c>
      <c r="AY269" s="170" t="s">
        <v>177</v>
      </c>
    </row>
    <row r="270" spans="2:65" s="1" customFormat="1" ht="24.2" customHeight="1">
      <c r="B270" s="128"/>
      <c r="C270" s="179" t="s">
        <v>520</v>
      </c>
      <c r="D270" s="179" t="s">
        <v>484</v>
      </c>
      <c r="E270" s="180" t="s">
        <v>2467</v>
      </c>
      <c r="F270" s="181" t="s">
        <v>2468</v>
      </c>
      <c r="G270" s="182" t="s">
        <v>332</v>
      </c>
      <c r="H270" s="183">
        <v>65.01</v>
      </c>
      <c r="I270" s="184"/>
      <c r="J270" s="185">
        <f>ROUND(I270*H270,2)</f>
        <v>0</v>
      </c>
      <c r="K270" s="181" t="s">
        <v>184</v>
      </c>
      <c r="L270" s="186"/>
      <c r="M270" s="187" t="s">
        <v>3</v>
      </c>
      <c r="N270" s="188" t="s">
        <v>48</v>
      </c>
      <c r="P270" s="138">
        <f>O270*H270</f>
        <v>0</v>
      </c>
      <c r="Q270" s="138">
        <v>0.004</v>
      </c>
      <c r="R270" s="138">
        <f>Q270*H270</f>
        <v>0.26004000000000005</v>
      </c>
      <c r="S270" s="138">
        <v>0</v>
      </c>
      <c r="T270" s="139">
        <f>S270*H270</f>
        <v>0</v>
      </c>
      <c r="AR270" s="140" t="s">
        <v>248</v>
      </c>
      <c r="AT270" s="140" t="s">
        <v>484</v>
      </c>
      <c r="AU270" s="140" t="s">
        <v>87</v>
      </c>
      <c r="AY270" s="18" t="s">
        <v>177</v>
      </c>
      <c r="BE270" s="141">
        <f>IF(N270="základní",J270,0)</f>
        <v>0</v>
      </c>
      <c r="BF270" s="141">
        <f>IF(N270="snížená",J270,0)</f>
        <v>0</v>
      </c>
      <c r="BG270" s="141">
        <f>IF(N270="zákl. přenesená",J270,0)</f>
        <v>0</v>
      </c>
      <c r="BH270" s="141">
        <f>IF(N270="sníž. přenesená",J270,0)</f>
        <v>0</v>
      </c>
      <c r="BI270" s="141">
        <f>IF(N270="nulová",J270,0)</f>
        <v>0</v>
      </c>
      <c r="BJ270" s="18" t="s">
        <v>85</v>
      </c>
      <c r="BK270" s="141">
        <f>ROUND(I270*H270,2)</f>
        <v>0</v>
      </c>
      <c r="BL270" s="18" t="s">
        <v>185</v>
      </c>
      <c r="BM270" s="140" t="s">
        <v>2469</v>
      </c>
    </row>
    <row r="271" spans="2:47" s="1" customFormat="1" ht="19.5">
      <c r="B271" s="33"/>
      <c r="D271" s="142" t="s">
        <v>187</v>
      </c>
      <c r="F271" s="143" t="s">
        <v>2470</v>
      </c>
      <c r="I271" s="144"/>
      <c r="L271" s="33"/>
      <c r="M271" s="145"/>
      <c r="T271" s="54"/>
      <c r="AT271" s="18" t="s">
        <v>187</v>
      </c>
      <c r="AU271" s="18" t="s">
        <v>87</v>
      </c>
    </row>
    <row r="272" spans="2:51" s="12" customFormat="1" ht="11.25">
      <c r="B272" s="149"/>
      <c r="D272" s="142" t="s">
        <v>193</v>
      </c>
      <c r="E272" s="150" t="s">
        <v>3</v>
      </c>
      <c r="F272" s="151" t="s">
        <v>2471</v>
      </c>
      <c r="H272" s="152">
        <v>59.1</v>
      </c>
      <c r="I272" s="153"/>
      <c r="L272" s="149"/>
      <c r="M272" s="154"/>
      <c r="T272" s="155"/>
      <c r="AT272" s="150" t="s">
        <v>193</v>
      </c>
      <c r="AU272" s="150" t="s">
        <v>87</v>
      </c>
      <c r="AV272" s="12" t="s">
        <v>87</v>
      </c>
      <c r="AW272" s="12" t="s">
        <v>36</v>
      </c>
      <c r="AX272" s="12" t="s">
        <v>85</v>
      </c>
      <c r="AY272" s="150" t="s">
        <v>177</v>
      </c>
    </row>
    <row r="273" spans="2:51" s="12" customFormat="1" ht="11.25">
      <c r="B273" s="149"/>
      <c r="D273" s="142" t="s">
        <v>193</v>
      </c>
      <c r="F273" s="151" t="s">
        <v>2472</v>
      </c>
      <c r="H273" s="152">
        <v>65.01</v>
      </c>
      <c r="I273" s="153"/>
      <c r="L273" s="149"/>
      <c r="M273" s="154"/>
      <c r="T273" s="155"/>
      <c r="AT273" s="150" t="s">
        <v>193</v>
      </c>
      <c r="AU273" s="150" t="s">
        <v>87</v>
      </c>
      <c r="AV273" s="12" t="s">
        <v>87</v>
      </c>
      <c r="AW273" s="12" t="s">
        <v>4</v>
      </c>
      <c r="AX273" s="12" t="s">
        <v>85</v>
      </c>
      <c r="AY273" s="150" t="s">
        <v>177</v>
      </c>
    </row>
    <row r="274" spans="2:65" s="1" customFormat="1" ht="37.9" customHeight="1">
      <c r="B274" s="128"/>
      <c r="C274" s="129" t="s">
        <v>527</v>
      </c>
      <c r="D274" s="129" t="s">
        <v>180</v>
      </c>
      <c r="E274" s="130" t="s">
        <v>2473</v>
      </c>
      <c r="F274" s="131" t="s">
        <v>2474</v>
      </c>
      <c r="G274" s="132" t="s">
        <v>332</v>
      </c>
      <c r="H274" s="133">
        <v>14.7</v>
      </c>
      <c r="I274" s="134"/>
      <c r="J274" s="135">
        <f>ROUND(I274*H274,2)</f>
        <v>0</v>
      </c>
      <c r="K274" s="131" t="s">
        <v>184</v>
      </c>
      <c r="L274" s="33"/>
      <c r="M274" s="136" t="s">
        <v>3</v>
      </c>
      <c r="N274" s="137" t="s">
        <v>48</v>
      </c>
      <c r="P274" s="138">
        <f>O274*H274</f>
        <v>0</v>
      </c>
      <c r="Q274" s="138">
        <v>8.06E-05</v>
      </c>
      <c r="R274" s="138">
        <f>Q274*H274</f>
        <v>0.0011848199999999998</v>
      </c>
      <c r="S274" s="138">
        <v>0</v>
      </c>
      <c r="T274" s="139">
        <f>S274*H274</f>
        <v>0</v>
      </c>
      <c r="AR274" s="140" t="s">
        <v>185</v>
      </c>
      <c r="AT274" s="140" t="s">
        <v>180</v>
      </c>
      <c r="AU274" s="140" t="s">
        <v>87</v>
      </c>
      <c r="AY274" s="18" t="s">
        <v>177</v>
      </c>
      <c r="BE274" s="141">
        <f>IF(N274="základní",J274,0)</f>
        <v>0</v>
      </c>
      <c r="BF274" s="141">
        <f>IF(N274="snížená",J274,0)</f>
        <v>0</v>
      </c>
      <c r="BG274" s="141">
        <f>IF(N274="zákl. přenesená",J274,0)</f>
        <v>0</v>
      </c>
      <c r="BH274" s="141">
        <f>IF(N274="sníž. přenesená",J274,0)</f>
        <v>0</v>
      </c>
      <c r="BI274" s="141">
        <f>IF(N274="nulová",J274,0)</f>
        <v>0</v>
      </c>
      <c r="BJ274" s="18" t="s">
        <v>85</v>
      </c>
      <c r="BK274" s="141">
        <f>ROUND(I274*H274,2)</f>
        <v>0</v>
      </c>
      <c r="BL274" s="18" t="s">
        <v>185</v>
      </c>
      <c r="BM274" s="140" t="s">
        <v>2475</v>
      </c>
    </row>
    <row r="275" spans="2:47" s="1" customFormat="1" ht="29.25">
      <c r="B275" s="33"/>
      <c r="D275" s="142" t="s">
        <v>187</v>
      </c>
      <c r="F275" s="143" t="s">
        <v>2476</v>
      </c>
      <c r="I275" s="144"/>
      <c r="L275" s="33"/>
      <c r="M275" s="145"/>
      <c r="T275" s="54"/>
      <c r="AT275" s="18" t="s">
        <v>187</v>
      </c>
      <c r="AU275" s="18" t="s">
        <v>87</v>
      </c>
    </row>
    <row r="276" spans="2:47" s="1" customFormat="1" ht="11.25">
      <c r="B276" s="33"/>
      <c r="D276" s="146" t="s">
        <v>189</v>
      </c>
      <c r="F276" s="147" t="s">
        <v>2477</v>
      </c>
      <c r="I276" s="144"/>
      <c r="L276" s="33"/>
      <c r="M276" s="145"/>
      <c r="T276" s="54"/>
      <c r="AT276" s="18" t="s">
        <v>189</v>
      </c>
      <c r="AU276" s="18" t="s">
        <v>87</v>
      </c>
    </row>
    <row r="277" spans="2:47" s="1" customFormat="1" ht="273">
      <c r="B277" s="33"/>
      <c r="D277" s="142" t="s">
        <v>191</v>
      </c>
      <c r="F277" s="148" t="s">
        <v>2384</v>
      </c>
      <c r="I277" s="144"/>
      <c r="L277" s="33"/>
      <c r="M277" s="145"/>
      <c r="T277" s="54"/>
      <c r="AT277" s="18" t="s">
        <v>191</v>
      </c>
      <c r="AU277" s="18" t="s">
        <v>87</v>
      </c>
    </row>
    <row r="278" spans="2:65" s="1" customFormat="1" ht="37.9" customHeight="1">
      <c r="B278" s="128"/>
      <c r="C278" s="129" t="s">
        <v>537</v>
      </c>
      <c r="D278" s="129" t="s">
        <v>180</v>
      </c>
      <c r="E278" s="130" t="s">
        <v>2478</v>
      </c>
      <c r="F278" s="131" t="s">
        <v>2479</v>
      </c>
      <c r="G278" s="132" t="s">
        <v>332</v>
      </c>
      <c r="H278" s="133">
        <v>424.397</v>
      </c>
      <c r="I278" s="134"/>
      <c r="J278" s="135">
        <f>ROUND(I278*H278,2)</f>
        <v>0</v>
      </c>
      <c r="K278" s="131" t="s">
        <v>184</v>
      </c>
      <c r="L278" s="33"/>
      <c r="M278" s="136" t="s">
        <v>3</v>
      </c>
      <c r="N278" s="137" t="s">
        <v>48</v>
      </c>
      <c r="P278" s="138">
        <f>O278*H278</f>
        <v>0</v>
      </c>
      <c r="Q278" s="138">
        <v>8.06E-05</v>
      </c>
      <c r="R278" s="138">
        <f>Q278*H278</f>
        <v>0.034206398199999995</v>
      </c>
      <c r="S278" s="138">
        <v>0</v>
      </c>
      <c r="T278" s="139">
        <f>S278*H278</f>
        <v>0</v>
      </c>
      <c r="AR278" s="140" t="s">
        <v>185</v>
      </c>
      <c r="AT278" s="140" t="s">
        <v>180</v>
      </c>
      <c r="AU278" s="140" t="s">
        <v>87</v>
      </c>
      <c r="AY278" s="18" t="s">
        <v>177</v>
      </c>
      <c r="BE278" s="141">
        <f>IF(N278="základní",J278,0)</f>
        <v>0</v>
      </c>
      <c r="BF278" s="141">
        <f>IF(N278="snížená",J278,0)</f>
        <v>0</v>
      </c>
      <c r="BG278" s="141">
        <f>IF(N278="zákl. přenesená",J278,0)</f>
        <v>0</v>
      </c>
      <c r="BH278" s="141">
        <f>IF(N278="sníž. přenesená",J278,0)</f>
        <v>0</v>
      </c>
      <c r="BI278" s="141">
        <f>IF(N278="nulová",J278,0)</f>
        <v>0</v>
      </c>
      <c r="BJ278" s="18" t="s">
        <v>85</v>
      </c>
      <c r="BK278" s="141">
        <f>ROUND(I278*H278,2)</f>
        <v>0</v>
      </c>
      <c r="BL278" s="18" t="s">
        <v>185</v>
      </c>
      <c r="BM278" s="140" t="s">
        <v>2480</v>
      </c>
    </row>
    <row r="279" spans="2:47" s="1" customFormat="1" ht="29.25">
      <c r="B279" s="33"/>
      <c r="D279" s="142" t="s">
        <v>187</v>
      </c>
      <c r="F279" s="143" t="s">
        <v>2481</v>
      </c>
      <c r="I279" s="144"/>
      <c r="L279" s="33"/>
      <c r="M279" s="145"/>
      <c r="T279" s="54"/>
      <c r="AT279" s="18" t="s">
        <v>187</v>
      </c>
      <c r="AU279" s="18" t="s">
        <v>87</v>
      </c>
    </row>
    <row r="280" spans="2:47" s="1" customFormat="1" ht="11.25">
      <c r="B280" s="33"/>
      <c r="D280" s="146" t="s">
        <v>189</v>
      </c>
      <c r="F280" s="147" t="s">
        <v>2482</v>
      </c>
      <c r="I280" s="144"/>
      <c r="L280" s="33"/>
      <c r="M280" s="145"/>
      <c r="T280" s="54"/>
      <c r="AT280" s="18" t="s">
        <v>189</v>
      </c>
      <c r="AU280" s="18" t="s">
        <v>87</v>
      </c>
    </row>
    <row r="281" spans="2:47" s="1" customFormat="1" ht="273">
      <c r="B281" s="33"/>
      <c r="D281" s="142" t="s">
        <v>191</v>
      </c>
      <c r="F281" s="148" t="s">
        <v>2384</v>
      </c>
      <c r="I281" s="144"/>
      <c r="L281" s="33"/>
      <c r="M281" s="145"/>
      <c r="T281" s="54"/>
      <c r="AT281" s="18" t="s">
        <v>191</v>
      </c>
      <c r="AU281" s="18" t="s">
        <v>87</v>
      </c>
    </row>
    <row r="282" spans="2:51" s="13" customFormat="1" ht="11.25">
      <c r="B282" s="156"/>
      <c r="D282" s="142" t="s">
        <v>193</v>
      </c>
      <c r="E282" s="157" t="s">
        <v>3</v>
      </c>
      <c r="F282" s="158" t="s">
        <v>2431</v>
      </c>
      <c r="H282" s="157" t="s">
        <v>3</v>
      </c>
      <c r="I282" s="159"/>
      <c r="L282" s="156"/>
      <c r="M282" s="160"/>
      <c r="T282" s="161"/>
      <c r="AT282" s="157" t="s">
        <v>193</v>
      </c>
      <c r="AU282" s="157" t="s">
        <v>87</v>
      </c>
      <c r="AV282" s="13" t="s">
        <v>85</v>
      </c>
      <c r="AW282" s="13" t="s">
        <v>36</v>
      </c>
      <c r="AX282" s="13" t="s">
        <v>77</v>
      </c>
      <c r="AY282" s="157" t="s">
        <v>177</v>
      </c>
    </row>
    <row r="283" spans="2:51" s="12" customFormat="1" ht="11.25">
      <c r="B283" s="149"/>
      <c r="D283" s="142" t="s">
        <v>193</v>
      </c>
      <c r="E283" s="150" t="s">
        <v>3</v>
      </c>
      <c r="F283" s="151" t="s">
        <v>2432</v>
      </c>
      <c r="H283" s="152">
        <v>11.066</v>
      </c>
      <c r="I283" s="153"/>
      <c r="L283" s="149"/>
      <c r="M283" s="154"/>
      <c r="T283" s="155"/>
      <c r="AT283" s="150" t="s">
        <v>193</v>
      </c>
      <c r="AU283" s="150" t="s">
        <v>87</v>
      </c>
      <c r="AV283" s="12" t="s">
        <v>87</v>
      </c>
      <c r="AW283" s="12" t="s">
        <v>36</v>
      </c>
      <c r="AX283" s="12" t="s">
        <v>77</v>
      </c>
      <c r="AY283" s="150" t="s">
        <v>177</v>
      </c>
    </row>
    <row r="284" spans="2:51" s="13" customFormat="1" ht="11.25">
      <c r="B284" s="156"/>
      <c r="D284" s="142" t="s">
        <v>193</v>
      </c>
      <c r="E284" s="157" t="s">
        <v>3</v>
      </c>
      <c r="F284" s="158" t="s">
        <v>2483</v>
      </c>
      <c r="H284" s="157" t="s">
        <v>3</v>
      </c>
      <c r="I284" s="159"/>
      <c r="L284" s="156"/>
      <c r="M284" s="160"/>
      <c r="T284" s="161"/>
      <c r="AT284" s="157" t="s">
        <v>193</v>
      </c>
      <c r="AU284" s="157" t="s">
        <v>87</v>
      </c>
      <c r="AV284" s="13" t="s">
        <v>85</v>
      </c>
      <c r="AW284" s="13" t="s">
        <v>36</v>
      </c>
      <c r="AX284" s="13" t="s">
        <v>77</v>
      </c>
      <c r="AY284" s="157" t="s">
        <v>177</v>
      </c>
    </row>
    <row r="285" spans="2:51" s="12" customFormat="1" ht="11.25">
      <c r="B285" s="149"/>
      <c r="D285" s="142" t="s">
        <v>193</v>
      </c>
      <c r="E285" s="150" t="s">
        <v>3</v>
      </c>
      <c r="F285" s="151" t="s">
        <v>2484</v>
      </c>
      <c r="H285" s="152">
        <v>413.331</v>
      </c>
      <c r="I285" s="153"/>
      <c r="L285" s="149"/>
      <c r="M285" s="154"/>
      <c r="T285" s="155"/>
      <c r="AT285" s="150" t="s">
        <v>193</v>
      </c>
      <c r="AU285" s="150" t="s">
        <v>87</v>
      </c>
      <c r="AV285" s="12" t="s">
        <v>87</v>
      </c>
      <c r="AW285" s="12" t="s">
        <v>36</v>
      </c>
      <c r="AX285" s="12" t="s">
        <v>77</v>
      </c>
      <c r="AY285" s="150" t="s">
        <v>177</v>
      </c>
    </row>
    <row r="286" spans="2:51" s="15" customFormat="1" ht="11.25">
      <c r="B286" s="169"/>
      <c r="D286" s="142" t="s">
        <v>193</v>
      </c>
      <c r="E286" s="170" t="s">
        <v>3</v>
      </c>
      <c r="F286" s="171" t="s">
        <v>201</v>
      </c>
      <c r="H286" s="172">
        <v>424.397</v>
      </c>
      <c r="I286" s="173"/>
      <c r="L286" s="169"/>
      <c r="M286" s="174"/>
      <c r="T286" s="175"/>
      <c r="AT286" s="170" t="s">
        <v>193</v>
      </c>
      <c r="AU286" s="170" t="s">
        <v>87</v>
      </c>
      <c r="AV286" s="15" t="s">
        <v>185</v>
      </c>
      <c r="AW286" s="15" t="s">
        <v>36</v>
      </c>
      <c r="AX286" s="15" t="s">
        <v>85</v>
      </c>
      <c r="AY286" s="170" t="s">
        <v>177</v>
      </c>
    </row>
    <row r="287" spans="2:65" s="1" customFormat="1" ht="24.2" customHeight="1">
      <c r="B287" s="128"/>
      <c r="C287" s="129" t="s">
        <v>756</v>
      </c>
      <c r="D287" s="129" t="s">
        <v>180</v>
      </c>
      <c r="E287" s="130" t="s">
        <v>2485</v>
      </c>
      <c r="F287" s="131" t="s">
        <v>2486</v>
      </c>
      <c r="G287" s="132" t="s">
        <v>476</v>
      </c>
      <c r="H287" s="133">
        <v>62.16</v>
      </c>
      <c r="I287" s="134"/>
      <c r="J287" s="135">
        <f>ROUND(I287*H287,2)</f>
        <v>0</v>
      </c>
      <c r="K287" s="131" t="s">
        <v>184</v>
      </c>
      <c r="L287" s="33"/>
      <c r="M287" s="136" t="s">
        <v>3</v>
      </c>
      <c r="N287" s="137" t="s">
        <v>48</v>
      </c>
      <c r="P287" s="138">
        <f>O287*H287</f>
        <v>0</v>
      </c>
      <c r="Q287" s="138">
        <v>3E-05</v>
      </c>
      <c r="R287" s="138">
        <f>Q287*H287</f>
        <v>0.0018648</v>
      </c>
      <c r="S287" s="138">
        <v>0</v>
      </c>
      <c r="T287" s="139">
        <f>S287*H287</f>
        <v>0</v>
      </c>
      <c r="AR287" s="140" t="s">
        <v>185</v>
      </c>
      <c r="AT287" s="140" t="s">
        <v>180</v>
      </c>
      <c r="AU287" s="140" t="s">
        <v>87</v>
      </c>
      <c r="AY287" s="18" t="s">
        <v>177</v>
      </c>
      <c r="BE287" s="141">
        <f>IF(N287="základní",J287,0)</f>
        <v>0</v>
      </c>
      <c r="BF287" s="141">
        <f>IF(N287="snížená",J287,0)</f>
        <v>0</v>
      </c>
      <c r="BG287" s="141">
        <f>IF(N287="zákl. přenesená",J287,0)</f>
        <v>0</v>
      </c>
      <c r="BH287" s="141">
        <f>IF(N287="sníž. přenesená",J287,0)</f>
        <v>0</v>
      </c>
      <c r="BI287" s="141">
        <f>IF(N287="nulová",J287,0)</f>
        <v>0</v>
      </c>
      <c r="BJ287" s="18" t="s">
        <v>85</v>
      </c>
      <c r="BK287" s="141">
        <f>ROUND(I287*H287,2)</f>
        <v>0</v>
      </c>
      <c r="BL287" s="18" t="s">
        <v>185</v>
      </c>
      <c r="BM287" s="140" t="s">
        <v>2487</v>
      </c>
    </row>
    <row r="288" spans="2:47" s="1" customFormat="1" ht="19.5">
      <c r="B288" s="33"/>
      <c r="D288" s="142" t="s">
        <v>187</v>
      </c>
      <c r="F288" s="143" t="s">
        <v>2488</v>
      </c>
      <c r="I288" s="144"/>
      <c r="L288" s="33"/>
      <c r="M288" s="145"/>
      <c r="T288" s="54"/>
      <c r="AT288" s="18" t="s">
        <v>187</v>
      </c>
      <c r="AU288" s="18" t="s">
        <v>87</v>
      </c>
    </row>
    <row r="289" spans="2:47" s="1" customFormat="1" ht="11.25">
      <c r="B289" s="33"/>
      <c r="D289" s="146" t="s">
        <v>189</v>
      </c>
      <c r="F289" s="147" t="s">
        <v>2489</v>
      </c>
      <c r="I289" s="144"/>
      <c r="L289" s="33"/>
      <c r="M289" s="145"/>
      <c r="T289" s="54"/>
      <c r="AT289" s="18" t="s">
        <v>189</v>
      </c>
      <c r="AU289" s="18" t="s">
        <v>87</v>
      </c>
    </row>
    <row r="290" spans="2:47" s="1" customFormat="1" ht="48.75">
      <c r="B290" s="33"/>
      <c r="D290" s="142" t="s">
        <v>191</v>
      </c>
      <c r="F290" s="148" t="s">
        <v>2490</v>
      </c>
      <c r="I290" s="144"/>
      <c r="L290" s="33"/>
      <c r="M290" s="145"/>
      <c r="T290" s="54"/>
      <c r="AT290" s="18" t="s">
        <v>191</v>
      </c>
      <c r="AU290" s="18" t="s">
        <v>87</v>
      </c>
    </row>
    <row r="291" spans="2:51" s="12" customFormat="1" ht="11.25">
      <c r="B291" s="149"/>
      <c r="D291" s="142" t="s">
        <v>193</v>
      </c>
      <c r="E291" s="150" t="s">
        <v>3</v>
      </c>
      <c r="F291" s="151" t="s">
        <v>2491</v>
      </c>
      <c r="H291" s="152">
        <v>62.16</v>
      </c>
      <c r="I291" s="153"/>
      <c r="L291" s="149"/>
      <c r="M291" s="154"/>
      <c r="T291" s="155"/>
      <c r="AT291" s="150" t="s">
        <v>193</v>
      </c>
      <c r="AU291" s="150" t="s">
        <v>87</v>
      </c>
      <c r="AV291" s="12" t="s">
        <v>87</v>
      </c>
      <c r="AW291" s="12" t="s">
        <v>36</v>
      </c>
      <c r="AX291" s="12" t="s">
        <v>85</v>
      </c>
      <c r="AY291" s="150" t="s">
        <v>177</v>
      </c>
    </row>
    <row r="292" spans="2:65" s="1" customFormat="1" ht="24.2" customHeight="1">
      <c r="B292" s="128"/>
      <c r="C292" s="179" t="s">
        <v>763</v>
      </c>
      <c r="D292" s="179" t="s">
        <v>484</v>
      </c>
      <c r="E292" s="180" t="s">
        <v>2492</v>
      </c>
      <c r="F292" s="181" t="s">
        <v>2493</v>
      </c>
      <c r="G292" s="182" t="s">
        <v>476</v>
      </c>
      <c r="H292" s="183">
        <v>65.268</v>
      </c>
      <c r="I292" s="184"/>
      <c r="J292" s="185">
        <f>ROUND(I292*H292,2)</f>
        <v>0</v>
      </c>
      <c r="K292" s="181" t="s">
        <v>184</v>
      </c>
      <c r="L292" s="186"/>
      <c r="M292" s="187" t="s">
        <v>3</v>
      </c>
      <c r="N292" s="188" t="s">
        <v>48</v>
      </c>
      <c r="P292" s="138">
        <f>O292*H292</f>
        <v>0</v>
      </c>
      <c r="Q292" s="138">
        <v>0.00072</v>
      </c>
      <c r="R292" s="138">
        <f>Q292*H292</f>
        <v>0.04699296</v>
      </c>
      <c r="S292" s="138">
        <v>0</v>
      </c>
      <c r="T292" s="139">
        <f>S292*H292</f>
        <v>0</v>
      </c>
      <c r="AR292" s="140" t="s">
        <v>248</v>
      </c>
      <c r="AT292" s="140" t="s">
        <v>484</v>
      </c>
      <c r="AU292" s="140" t="s">
        <v>87</v>
      </c>
      <c r="AY292" s="18" t="s">
        <v>177</v>
      </c>
      <c r="BE292" s="141">
        <f>IF(N292="základní",J292,0)</f>
        <v>0</v>
      </c>
      <c r="BF292" s="141">
        <f>IF(N292="snížená",J292,0)</f>
        <v>0</v>
      </c>
      <c r="BG292" s="141">
        <f>IF(N292="zákl. přenesená",J292,0)</f>
        <v>0</v>
      </c>
      <c r="BH292" s="141">
        <f>IF(N292="sníž. přenesená",J292,0)</f>
        <v>0</v>
      </c>
      <c r="BI292" s="141">
        <f>IF(N292="nulová",J292,0)</f>
        <v>0</v>
      </c>
      <c r="BJ292" s="18" t="s">
        <v>85</v>
      </c>
      <c r="BK292" s="141">
        <f>ROUND(I292*H292,2)</f>
        <v>0</v>
      </c>
      <c r="BL292" s="18" t="s">
        <v>185</v>
      </c>
      <c r="BM292" s="140" t="s">
        <v>2494</v>
      </c>
    </row>
    <row r="293" spans="2:47" s="1" customFormat="1" ht="11.25">
      <c r="B293" s="33"/>
      <c r="D293" s="142" t="s">
        <v>187</v>
      </c>
      <c r="F293" s="143" t="s">
        <v>2493</v>
      </c>
      <c r="I293" s="144"/>
      <c r="L293" s="33"/>
      <c r="M293" s="145"/>
      <c r="T293" s="54"/>
      <c r="AT293" s="18" t="s">
        <v>187</v>
      </c>
      <c r="AU293" s="18" t="s">
        <v>87</v>
      </c>
    </row>
    <row r="294" spans="2:51" s="12" customFormat="1" ht="11.25">
      <c r="B294" s="149"/>
      <c r="D294" s="142" t="s">
        <v>193</v>
      </c>
      <c r="F294" s="151" t="s">
        <v>2495</v>
      </c>
      <c r="H294" s="152">
        <v>65.268</v>
      </c>
      <c r="I294" s="153"/>
      <c r="L294" s="149"/>
      <c r="M294" s="154"/>
      <c r="T294" s="155"/>
      <c r="AT294" s="150" t="s">
        <v>193</v>
      </c>
      <c r="AU294" s="150" t="s">
        <v>87</v>
      </c>
      <c r="AV294" s="12" t="s">
        <v>87</v>
      </c>
      <c r="AW294" s="12" t="s">
        <v>4</v>
      </c>
      <c r="AX294" s="12" t="s">
        <v>85</v>
      </c>
      <c r="AY294" s="150" t="s">
        <v>177</v>
      </c>
    </row>
    <row r="295" spans="2:65" s="1" customFormat="1" ht="24.2" customHeight="1">
      <c r="B295" s="128"/>
      <c r="C295" s="179" t="s">
        <v>771</v>
      </c>
      <c r="D295" s="179" t="s">
        <v>484</v>
      </c>
      <c r="E295" s="180" t="s">
        <v>2496</v>
      </c>
      <c r="F295" s="181" t="s">
        <v>2497</v>
      </c>
      <c r="G295" s="182" t="s">
        <v>236</v>
      </c>
      <c r="H295" s="183">
        <v>35</v>
      </c>
      <c r="I295" s="184"/>
      <c r="J295" s="185">
        <f>ROUND(I295*H295,2)</f>
        <v>0</v>
      </c>
      <c r="K295" s="181" t="s">
        <v>184</v>
      </c>
      <c r="L295" s="186"/>
      <c r="M295" s="187" t="s">
        <v>3</v>
      </c>
      <c r="N295" s="188" t="s">
        <v>48</v>
      </c>
      <c r="P295" s="138">
        <f>O295*H295</f>
        <v>0</v>
      </c>
      <c r="Q295" s="138">
        <v>0</v>
      </c>
      <c r="R295" s="138">
        <f>Q295*H295</f>
        <v>0</v>
      </c>
      <c r="S295" s="138">
        <v>0</v>
      </c>
      <c r="T295" s="139">
        <f>S295*H295</f>
        <v>0</v>
      </c>
      <c r="AR295" s="140" t="s">
        <v>248</v>
      </c>
      <c r="AT295" s="140" t="s">
        <v>484</v>
      </c>
      <c r="AU295" s="140" t="s">
        <v>87</v>
      </c>
      <c r="AY295" s="18" t="s">
        <v>177</v>
      </c>
      <c r="BE295" s="141">
        <f>IF(N295="základní",J295,0)</f>
        <v>0</v>
      </c>
      <c r="BF295" s="141">
        <f>IF(N295="snížená",J295,0)</f>
        <v>0</v>
      </c>
      <c r="BG295" s="141">
        <f>IF(N295="zákl. přenesená",J295,0)</f>
        <v>0</v>
      </c>
      <c r="BH295" s="141">
        <f>IF(N295="sníž. přenesená",J295,0)</f>
        <v>0</v>
      </c>
      <c r="BI295" s="141">
        <f>IF(N295="nulová",J295,0)</f>
        <v>0</v>
      </c>
      <c r="BJ295" s="18" t="s">
        <v>85</v>
      </c>
      <c r="BK295" s="141">
        <f>ROUND(I295*H295,2)</f>
        <v>0</v>
      </c>
      <c r="BL295" s="18" t="s">
        <v>185</v>
      </c>
      <c r="BM295" s="140" t="s">
        <v>2498</v>
      </c>
    </row>
    <row r="296" spans="2:47" s="1" customFormat="1" ht="11.25">
      <c r="B296" s="33"/>
      <c r="D296" s="142" t="s">
        <v>187</v>
      </c>
      <c r="F296" s="143" t="s">
        <v>2497</v>
      </c>
      <c r="I296" s="144"/>
      <c r="L296" s="33"/>
      <c r="M296" s="145"/>
      <c r="T296" s="54"/>
      <c r="AT296" s="18" t="s">
        <v>187</v>
      </c>
      <c r="AU296" s="18" t="s">
        <v>87</v>
      </c>
    </row>
    <row r="297" spans="2:65" s="1" customFormat="1" ht="16.5" customHeight="1">
      <c r="B297" s="128"/>
      <c r="C297" s="179" t="s">
        <v>780</v>
      </c>
      <c r="D297" s="179" t="s">
        <v>484</v>
      </c>
      <c r="E297" s="180" t="s">
        <v>2499</v>
      </c>
      <c r="F297" s="181" t="s">
        <v>2500</v>
      </c>
      <c r="G297" s="182" t="s">
        <v>236</v>
      </c>
      <c r="H297" s="183">
        <v>60</v>
      </c>
      <c r="I297" s="184"/>
      <c r="J297" s="185">
        <f>ROUND(I297*H297,2)</f>
        <v>0</v>
      </c>
      <c r="K297" s="181" t="s">
        <v>184</v>
      </c>
      <c r="L297" s="186"/>
      <c r="M297" s="187" t="s">
        <v>3</v>
      </c>
      <c r="N297" s="188" t="s">
        <v>48</v>
      </c>
      <c r="P297" s="138">
        <f>O297*H297</f>
        <v>0</v>
      </c>
      <c r="Q297" s="138">
        <v>1E-05</v>
      </c>
      <c r="R297" s="138">
        <f>Q297*H297</f>
        <v>0.0006000000000000001</v>
      </c>
      <c r="S297" s="138">
        <v>0</v>
      </c>
      <c r="T297" s="139">
        <f>S297*H297</f>
        <v>0</v>
      </c>
      <c r="AR297" s="140" t="s">
        <v>248</v>
      </c>
      <c r="AT297" s="140" t="s">
        <v>484</v>
      </c>
      <c r="AU297" s="140" t="s">
        <v>87</v>
      </c>
      <c r="AY297" s="18" t="s">
        <v>177</v>
      </c>
      <c r="BE297" s="141">
        <f>IF(N297="základní",J297,0)</f>
        <v>0</v>
      </c>
      <c r="BF297" s="141">
        <f>IF(N297="snížená",J297,0)</f>
        <v>0</v>
      </c>
      <c r="BG297" s="141">
        <f>IF(N297="zákl. přenesená",J297,0)</f>
        <v>0</v>
      </c>
      <c r="BH297" s="141">
        <f>IF(N297="sníž. přenesená",J297,0)</f>
        <v>0</v>
      </c>
      <c r="BI297" s="141">
        <f>IF(N297="nulová",J297,0)</f>
        <v>0</v>
      </c>
      <c r="BJ297" s="18" t="s">
        <v>85</v>
      </c>
      <c r="BK297" s="141">
        <f>ROUND(I297*H297,2)</f>
        <v>0</v>
      </c>
      <c r="BL297" s="18" t="s">
        <v>185</v>
      </c>
      <c r="BM297" s="140" t="s">
        <v>2501</v>
      </c>
    </row>
    <row r="298" spans="2:47" s="1" customFormat="1" ht="11.25">
      <c r="B298" s="33"/>
      <c r="D298" s="142" t="s">
        <v>187</v>
      </c>
      <c r="F298" s="143" t="s">
        <v>2500</v>
      </c>
      <c r="I298" s="144"/>
      <c r="L298" s="33"/>
      <c r="M298" s="145"/>
      <c r="T298" s="54"/>
      <c r="AT298" s="18" t="s">
        <v>187</v>
      </c>
      <c r="AU298" s="18" t="s">
        <v>87</v>
      </c>
    </row>
    <row r="299" spans="2:65" s="1" customFormat="1" ht="16.5" customHeight="1">
      <c r="B299" s="128"/>
      <c r="C299" s="129" t="s">
        <v>786</v>
      </c>
      <c r="D299" s="129" t="s">
        <v>180</v>
      </c>
      <c r="E299" s="130" t="s">
        <v>2502</v>
      </c>
      <c r="F299" s="131" t="s">
        <v>2503</v>
      </c>
      <c r="G299" s="132" t="s">
        <v>476</v>
      </c>
      <c r="H299" s="133">
        <v>554.03</v>
      </c>
      <c r="I299" s="134"/>
      <c r="J299" s="135">
        <f>ROUND(I299*H299,2)</f>
        <v>0</v>
      </c>
      <c r="K299" s="131" t="s">
        <v>184</v>
      </c>
      <c r="L299" s="33"/>
      <c r="M299" s="136" t="s">
        <v>3</v>
      </c>
      <c r="N299" s="137" t="s">
        <v>48</v>
      </c>
      <c r="P299" s="138">
        <f>O299*H299</f>
        <v>0</v>
      </c>
      <c r="Q299" s="138">
        <v>0</v>
      </c>
      <c r="R299" s="138">
        <f>Q299*H299</f>
        <v>0</v>
      </c>
      <c r="S299" s="138">
        <v>0</v>
      </c>
      <c r="T299" s="139">
        <f>S299*H299</f>
        <v>0</v>
      </c>
      <c r="AR299" s="140" t="s">
        <v>185</v>
      </c>
      <c r="AT299" s="140" t="s">
        <v>180</v>
      </c>
      <c r="AU299" s="140" t="s">
        <v>87</v>
      </c>
      <c r="AY299" s="18" t="s">
        <v>177</v>
      </c>
      <c r="BE299" s="141">
        <f>IF(N299="základní",J299,0)</f>
        <v>0</v>
      </c>
      <c r="BF299" s="141">
        <f>IF(N299="snížená",J299,0)</f>
        <v>0</v>
      </c>
      <c r="BG299" s="141">
        <f>IF(N299="zákl. přenesená",J299,0)</f>
        <v>0</v>
      </c>
      <c r="BH299" s="141">
        <f>IF(N299="sníž. přenesená",J299,0)</f>
        <v>0</v>
      </c>
      <c r="BI299" s="141">
        <f>IF(N299="nulová",J299,0)</f>
        <v>0</v>
      </c>
      <c r="BJ299" s="18" t="s">
        <v>85</v>
      </c>
      <c r="BK299" s="141">
        <f>ROUND(I299*H299,2)</f>
        <v>0</v>
      </c>
      <c r="BL299" s="18" t="s">
        <v>185</v>
      </c>
      <c r="BM299" s="140" t="s">
        <v>2504</v>
      </c>
    </row>
    <row r="300" spans="2:47" s="1" customFormat="1" ht="19.5">
      <c r="B300" s="33"/>
      <c r="D300" s="142" t="s">
        <v>187</v>
      </c>
      <c r="F300" s="143" t="s">
        <v>2505</v>
      </c>
      <c r="I300" s="144"/>
      <c r="L300" s="33"/>
      <c r="M300" s="145"/>
      <c r="T300" s="54"/>
      <c r="AT300" s="18" t="s">
        <v>187</v>
      </c>
      <c r="AU300" s="18" t="s">
        <v>87</v>
      </c>
    </row>
    <row r="301" spans="2:47" s="1" customFormat="1" ht="11.25">
      <c r="B301" s="33"/>
      <c r="D301" s="146" t="s">
        <v>189</v>
      </c>
      <c r="F301" s="147" t="s">
        <v>2506</v>
      </c>
      <c r="I301" s="144"/>
      <c r="L301" s="33"/>
      <c r="M301" s="145"/>
      <c r="T301" s="54"/>
      <c r="AT301" s="18" t="s">
        <v>189</v>
      </c>
      <c r="AU301" s="18" t="s">
        <v>87</v>
      </c>
    </row>
    <row r="302" spans="2:47" s="1" customFormat="1" ht="48.75">
      <c r="B302" s="33"/>
      <c r="D302" s="142" t="s">
        <v>191</v>
      </c>
      <c r="F302" s="148" t="s">
        <v>2490</v>
      </c>
      <c r="I302" s="144"/>
      <c r="L302" s="33"/>
      <c r="M302" s="145"/>
      <c r="T302" s="54"/>
      <c r="AT302" s="18" t="s">
        <v>191</v>
      </c>
      <c r="AU302" s="18" t="s">
        <v>87</v>
      </c>
    </row>
    <row r="303" spans="2:65" s="1" customFormat="1" ht="24.2" customHeight="1">
      <c r="B303" s="128"/>
      <c r="C303" s="179" t="s">
        <v>793</v>
      </c>
      <c r="D303" s="179" t="s">
        <v>484</v>
      </c>
      <c r="E303" s="180" t="s">
        <v>2507</v>
      </c>
      <c r="F303" s="181" t="s">
        <v>2508</v>
      </c>
      <c r="G303" s="182" t="s">
        <v>476</v>
      </c>
      <c r="H303" s="183">
        <v>161.91</v>
      </c>
      <c r="I303" s="184"/>
      <c r="J303" s="185">
        <f>ROUND(I303*H303,2)</f>
        <v>0</v>
      </c>
      <c r="K303" s="181" t="s">
        <v>184</v>
      </c>
      <c r="L303" s="186"/>
      <c r="M303" s="187" t="s">
        <v>3</v>
      </c>
      <c r="N303" s="188" t="s">
        <v>48</v>
      </c>
      <c r="P303" s="138">
        <f>O303*H303</f>
        <v>0</v>
      </c>
      <c r="Q303" s="138">
        <v>3E-05</v>
      </c>
      <c r="R303" s="138">
        <f>Q303*H303</f>
        <v>0.0048573</v>
      </c>
      <c r="S303" s="138">
        <v>0</v>
      </c>
      <c r="T303" s="139">
        <f>S303*H303</f>
        <v>0</v>
      </c>
      <c r="AR303" s="140" t="s">
        <v>248</v>
      </c>
      <c r="AT303" s="140" t="s">
        <v>484</v>
      </c>
      <c r="AU303" s="140" t="s">
        <v>87</v>
      </c>
      <c r="AY303" s="18" t="s">
        <v>177</v>
      </c>
      <c r="BE303" s="141">
        <f>IF(N303="základní",J303,0)</f>
        <v>0</v>
      </c>
      <c r="BF303" s="141">
        <f>IF(N303="snížená",J303,0)</f>
        <v>0</v>
      </c>
      <c r="BG303" s="141">
        <f>IF(N303="zákl. přenesená",J303,0)</f>
        <v>0</v>
      </c>
      <c r="BH303" s="141">
        <f>IF(N303="sníž. přenesená",J303,0)</f>
        <v>0</v>
      </c>
      <c r="BI303" s="141">
        <f>IF(N303="nulová",J303,0)</f>
        <v>0</v>
      </c>
      <c r="BJ303" s="18" t="s">
        <v>85</v>
      </c>
      <c r="BK303" s="141">
        <f>ROUND(I303*H303,2)</f>
        <v>0</v>
      </c>
      <c r="BL303" s="18" t="s">
        <v>185</v>
      </c>
      <c r="BM303" s="140" t="s">
        <v>2509</v>
      </c>
    </row>
    <row r="304" spans="2:47" s="1" customFormat="1" ht="19.5">
      <c r="B304" s="33"/>
      <c r="D304" s="142" t="s">
        <v>187</v>
      </c>
      <c r="F304" s="143" t="s">
        <v>2508</v>
      </c>
      <c r="I304" s="144"/>
      <c r="L304" s="33"/>
      <c r="M304" s="145"/>
      <c r="T304" s="54"/>
      <c r="AT304" s="18" t="s">
        <v>187</v>
      </c>
      <c r="AU304" s="18" t="s">
        <v>87</v>
      </c>
    </row>
    <row r="305" spans="2:51" s="12" customFormat="1" ht="11.25">
      <c r="B305" s="149"/>
      <c r="D305" s="142" t="s">
        <v>193</v>
      </c>
      <c r="E305" s="150" t="s">
        <v>3</v>
      </c>
      <c r="F305" s="151" t="s">
        <v>2510</v>
      </c>
      <c r="H305" s="152">
        <v>236.4</v>
      </c>
      <c r="I305" s="153"/>
      <c r="L305" s="149"/>
      <c r="M305" s="154"/>
      <c r="T305" s="155"/>
      <c r="AT305" s="150" t="s">
        <v>193</v>
      </c>
      <c r="AU305" s="150" t="s">
        <v>87</v>
      </c>
      <c r="AV305" s="12" t="s">
        <v>87</v>
      </c>
      <c r="AW305" s="12" t="s">
        <v>36</v>
      </c>
      <c r="AX305" s="12" t="s">
        <v>77</v>
      </c>
      <c r="AY305" s="150" t="s">
        <v>177</v>
      </c>
    </row>
    <row r="306" spans="2:51" s="12" customFormat="1" ht="11.25">
      <c r="B306" s="149"/>
      <c r="D306" s="142" t="s">
        <v>193</v>
      </c>
      <c r="E306" s="150" t="s">
        <v>3</v>
      </c>
      <c r="F306" s="151" t="s">
        <v>2511</v>
      </c>
      <c r="H306" s="152">
        <v>-117</v>
      </c>
      <c r="I306" s="153"/>
      <c r="L306" s="149"/>
      <c r="M306" s="154"/>
      <c r="T306" s="155"/>
      <c r="AT306" s="150" t="s">
        <v>193</v>
      </c>
      <c r="AU306" s="150" t="s">
        <v>87</v>
      </c>
      <c r="AV306" s="12" t="s">
        <v>87</v>
      </c>
      <c r="AW306" s="12" t="s">
        <v>36</v>
      </c>
      <c r="AX306" s="12" t="s">
        <v>77</v>
      </c>
      <c r="AY306" s="150" t="s">
        <v>177</v>
      </c>
    </row>
    <row r="307" spans="2:51" s="14" customFormat="1" ht="11.25">
      <c r="B307" s="162"/>
      <c r="D307" s="142" t="s">
        <v>193</v>
      </c>
      <c r="E307" s="163" t="s">
        <v>3</v>
      </c>
      <c r="F307" s="164" t="s">
        <v>197</v>
      </c>
      <c r="H307" s="165">
        <v>119.4</v>
      </c>
      <c r="I307" s="166"/>
      <c r="L307" s="162"/>
      <c r="M307" s="167"/>
      <c r="T307" s="168"/>
      <c r="AT307" s="163" t="s">
        <v>193</v>
      </c>
      <c r="AU307" s="163" t="s">
        <v>87</v>
      </c>
      <c r="AV307" s="14" t="s">
        <v>198</v>
      </c>
      <c r="AW307" s="14" t="s">
        <v>36</v>
      </c>
      <c r="AX307" s="14" t="s">
        <v>77</v>
      </c>
      <c r="AY307" s="163" t="s">
        <v>177</v>
      </c>
    </row>
    <row r="308" spans="2:51" s="12" customFormat="1" ht="11.25">
      <c r="B308" s="149"/>
      <c r="D308" s="142" t="s">
        <v>193</v>
      </c>
      <c r="E308" s="150" t="s">
        <v>3</v>
      </c>
      <c r="F308" s="151" t="s">
        <v>2512</v>
      </c>
      <c r="H308" s="152">
        <v>34.8</v>
      </c>
      <c r="I308" s="153"/>
      <c r="L308" s="149"/>
      <c r="M308" s="154"/>
      <c r="T308" s="155"/>
      <c r="AT308" s="150" t="s">
        <v>193</v>
      </c>
      <c r="AU308" s="150" t="s">
        <v>87</v>
      </c>
      <c r="AV308" s="12" t="s">
        <v>87</v>
      </c>
      <c r="AW308" s="12" t="s">
        <v>36</v>
      </c>
      <c r="AX308" s="12" t="s">
        <v>77</v>
      </c>
      <c r="AY308" s="150" t="s">
        <v>177</v>
      </c>
    </row>
    <row r="309" spans="2:51" s="15" customFormat="1" ht="11.25">
      <c r="B309" s="169"/>
      <c r="D309" s="142" t="s">
        <v>193</v>
      </c>
      <c r="E309" s="170" t="s">
        <v>3</v>
      </c>
      <c r="F309" s="171" t="s">
        <v>201</v>
      </c>
      <c r="H309" s="172">
        <v>154.2</v>
      </c>
      <c r="I309" s="173"/>
      <c r="L309" s="169"/>
      <c r="M309" s="174"/>
      <c r="T309" s="175"/>
      <c r="AT309" s="170" t="s">
        <v>193</v>
      </c>
      <c r="AU309" s="170" t="s">
        <v>87</v>
      </c>
      <c r="AV309" s="15" t="s">
        <v>185</v>
      </c>
      <c r="AW309" s="15" t="s">
        <v>36</v>
      </c>
      <c r="AX309" s="15" t="s">
        <v>85</v>
      </c>
      <c r="AY309" s="170" t="s">
        <v>177</v>
      </c>
    </row>
    <row r="310" spans="2:51" s="12" customFormat="1" ht="11.25">
      <c r="B310" s="149"/>
      <c r="D310" s="142" t="s">
        <v>193</v>
      </c>
      <c r="F310" s="151" t="s">
        <v>2513</v>
      </c>
      <c r="H310" s="152">
        <v>161.91</v>
      </c>
      <c r="I310" s="153"/>
      <c r="L310" s="149"/>
      <c r="M310" s="154"/>
      <c r="T310" s="155"/>
      <c r="AT310" s="150" t="s">
        <v>193</v>
      </c>
      <c r="AU310" s="150" t="s">
        <v>87</v>
      </c>
      <c r="AV310" s="12" t="s">
        <v>87</v>
      </c>
      <c r="AW310" s="12" t="s">
        <v>4</v>
      </c>
      <c r="AX310" s="12" t="s">
        <v>85</v>
      </c>
      <c r="AY310" s="150" t="s">
        <v>177</v>
      </c>
    </row>
    <row r="311" spans="2:65" s="1" customFormat="1" ht="24.2" customHeight="1">
      <c r="B311" s="128"/>
      <c r="C311" s="179" t="s">
        <v>799</v>
      </c>
      <c r="D311" s="179" t="s">
        <v>484</v>
      </c>
      <c r="E311" s="180" t="s">
        <v>2514</v>
      </c>
      <c r="F311" s="181" t="s">
        <v>2515</v>
      </c>
      <c r="G311" s="182" t="s">
        <v>476</v>
      </c>
      <c r="H311" s="183">
        <v>188.685</v>
      </c>
      <c r="I311" s="184"/>
      <c r="J311" s="185">
        <f>ROUND(I311*H311,2)</f>
        <v>0</v>
      </c>
      <c r="K311" s="181" t="s">
        <v>184</v>
      </c>
      <c r="L311" s="186"/>
      <c r="M311" s="187" t="s">
        <v>3</v>
      </c>
      <c r="N311" s="188" t="s">
        <v>48</v>
      </c>
      <c r="P311" s="138">
        <f>O311*H311</f>
        <v>0</v>
      </c>
      <c r="Q311" s="138">
        <v>4E-05</v>
      </c>
      <c r="R311" s="138">
        <f>Q311*H311</f>
        <v>0.007547400000000001</v>
      </c>
      <c r="S311" s="138">
        <v>0</v>
      </c>
      <c r="T311" s="139">
        <f>S311*H311</f>
        <v>0</v>
      </c>
      <c r="AR311" s="140" t="s">
        <v>248</v>
      </c>
      <c r="AT311" s="140" t="s">
        <v>484</v>
      </c>
      <c r="AU311" s="140" t="s">
        <v>87</v>
      </c>
      <c r="AY311" s="18" t="s">
        <v>177</v>
      </c>
      <c r="BE311" s="141">
        <f>IF(N311="základní",J311,0)</f>
        <v>0</v>
      </c>
      <c r="BF311" s="141">
        <f>IF(N311="snížená",J311,0)</f>
        <v>0</v>
      </c>
      <c r="BG311" s="141">
        <f>IF(N311="zákl. přenesená",J311,0)</f>
        <v>0</v>
      </c>
      <c r="BH311" s="141">
        <f>IF(N311="sníž. přenesená",J311,0)</f>
        <v>0</v>
      </c>
      <c r="BI311" s="141">
        <f>IF(N311="nulová",J311,0)</f>
        <v>0</v>
      </c>
      <c r="BJ311" s="18" t="s">
        <v>85</v>
      </c>
      <c r="BK311" s="141">
        <f>ROUND(I311*H311,2)</f>
        <v>0</v>
      </c>
      <c r="BL311" s="18" t="s">
        <v>185</v>
      </c>
      <c r="BM311" s="140" t="s">
        <v>2516</v>
      </c>
    </row>
    <row r="312" spans="2:47" s="1" customFormat="1" ht="11.25">
      <c r="B312" s="33"/>
      <c r="D312" s="142" t="s">
        <v>187</v>
      </c>
      <c r="F312" s="143" t="s">
        <v>2515</v>
      </c>
      <c r="I312" s="144"/>
      <c r="L312" s="33"/>
      <c r="M312" s="145"/>
      <c r="T312" s="54"/>
      <c r="AT312" s="18" t="s">
        <v>187</v>
      </c>
      <c r="AU312" s="18" t="s">
        <v>87</v>
      </c>
    </row>
    <row r="313" spans="2:51" s="12" customFormat="1" ht="11.25">
      <c r="B313" s="149"/>
      <c r="D313" s="142" t="s">
        <v>193</v>
      </c>
      <c r="E313" s="150" t="s">
        <v>3</v>
      </c>
      <c r="F313" s="151" t="s">
        <v>2517</v>
      </c>
      <c r="H313" s="152">
        <v>179.7</v>
      </c>
      <c r="I313" s="153"/>
      <c r="L313" s="149"/>
      <c r="M313" s="154"/>
      <c r="T313" s="155"/>
      <c r="AT313" s="150" t="s">
        <v>193</v>
      </c>
      <c r="AU313" s="150" t="s">
        <v>87</v>
      </c>
      <c r="AV313" s="12" t="s">
        <v>87</v>
      </c>
      <c r="AW313" s="12" t="s">
        <v>36</v>
      </c>
      <c r="AX313" s="12" t="s">
        <v>85</v>
      </c>
      <c r="AY313" s="150" t="s">
        <v>177</v>
      </c>
    </row>
    <row r="314" spans="2:51" s="12" customFormat="1" ht="11.25">
      <c r="B314" s="149"/>
      <c r="D314" s="142" t="s">
        <v>193</v>
      </c>
      <c r="F314" s="151" t="s">
        <v>2518</v>
      </c>
      <c r="H314" s="152">
        <v>188.685</v>
      </c>
      <c r="I314" s="153"/>
      <c r="L314" s="149"/>
      <c r="M314" s="154"/>
      <c r="T314" s="155"/>
      <c r="AT314" s="150" t="s">
        <v>193</v>
      </c>
      <c r="AU314" s="150" t="s">
        <v>87</v>
      </c>
      <c r="AV314" s="12" t="s">
        <v>87</v>
      </c>
      <c r="AW314" s="12" t="s">
        <v>4</v>
      </c>
      <c r="AX314" s="12" t="s">
        <v>85</v>
      </c>
      <c r="AY314" s="150" t="s">
        <v>177</v>
      </c>
    </row>
    <row r="315" spans="2:65" s="1" customFormat="1" ht="24.2" customHeight="1">
      <c r="B315" s="128"/>
      <c r="C315" s="179" t="s">
        <v>1115</v>
      </c>
      <c r="D315" s="179" t="s">
        <v>484</v>
      </c>
      <c r="E315" s="180" t="s">
        <v>2519</v>
      </c>
      <c r="F315" s="181" t="s">
        <v>2520</v>
      </c>
      <c r="G315" s="182" t="s">
        <v>476</v>
      </c>
      <c r="H315" s="183">
        <v>63.315</v>
      </c>
      <c r="I315" s="184"/>
      <c r="J315" s="185">
        <f>ROUND(I315*H315,2)</f>
        <v>0</v>
      </c>
      <c r="K315" s="181" t="s">
        <v>184</v>
      </c>
      <c r="L315" s="186"/>
      <c r="M315" s="187" t="s">
        <v>3</v>
      </c>
      <c r="N315" s="188" t="s">
        <v>48</v>
      </c>
      <c r="P315" s="138">
        <f>O315*H315</f>
        <v>0</v>
      </c>
      <c r="Q315" s="138">
        <v>0.0003</v>
      </c>
      <c r="R315" s="138">
        <f>Q315*H315</f>
        <v>0.018994499999999997</v>
      </c>
      <c r="S315" s="138">
        <v>0</v>
      </c>
      <c r="T315" s="139">
        <f>S315*H315</f>
        <v>0</v>
      </c>
      <c r="AR315" s="140" t="s">
        <v>248</v>
      </c>
      <c r="AT315" s="140" t="s">
        <v>484</v>
      </c>
      <c r="AU315" s="140" t="s">
        <v>87</v>
      </c>
      <c r="AY315" s="18" t="s">
        <v>177</v>
      </c>
      <c r="BE315" s="141">
        <f>IF(N315="základní",J315,0)</f>
        <v>0</v>
      </c>
      <c r="BF315" s="141">
        <f>IF(N315="snížená",J315,0)</f>
        <v>0</v>
      </c>
      <c r="BG315" s="141">
        <f>IF(N315="zákl. přenesená",J315,0)</f>
        <v>0</v>
      </c>
      <c r="BH315" s="141">
        <f>IF(N315="sníž. přenesená",J315,0)</f>
        <v>0</v>
      </c>
      <c r="BI315" s="141">
        <f>IF(N315="nulová",J315,0)</f>
        <v>0</v>
      </c>
      <c r="BJ315" s="18" t="s">
        <v>85</v>
      </c>
      <c r="BK315" s="141">
        <f>ROUND(I315*H315,2)</f>
        <v>0</v>
      </c>
      <c r="BL315" s="18" t="s">
        <v>185</v>
      </c>
      <c r="BM315" s="140" t="s">
        <v>2521</v>
      </c>
    </row>
    <row r="316" spans="2:47" s="1" customFormat="1" ht="19.5">
      <c r="B316" s="33"/>
      <c r="D316" s="142" t="s">
        <v>187</v>
      </c>
      <c r="F316" s="143" t="s">
        <v>2520</v>
      </c>
      <c r="I316" s="144"/>
      <c r="L316" s="33"/>
      <c r="M316" s="145"/>
      <c r="T316" s="54"/>
      <c r="AT316" s="18" t="s">
        <v>187</v>
      </c>
      <c r="AU316" s="18" t="s">
        <v>87</v>
      </c>
    </row>
    <row r="317" spans="2:51" s="12" customFormat="1" ht="11.25">
      <c r="B317" s="149"/>
      <c r="D317" s="142" t="s">
        <v>193</v>
      </c>
      <c r="E317" s="150" t="s">
        <v>3</v>
      </c>
      <c r="F317" s="151" t="s">
        <v>2522</v>
      </c>
      <c r="H317" s="152">
        <v>56.7</v>
      </c>
      <c r="I317" s="153"/>
      <c r="L317" s="149"/>
      <c r="M317" s="154"/>
      <c r="T317" s="155"/>
      <c r="AT317" s="150" t="s">
        <v>193</v>
      </c>
      <c r="AU317" s="150" t="s">
        <v>87</v>
      </c>
      <c r="AV317" s="12" t="s">
        <v>87</v>
      </c>
      <c r="AW317" s="12" t="s">
        <v>36</v>
      </c>
      <c r="AX317" s="12" t="s">
        <v>77</v>
      </c>
      <c r="AY317" s="150" t="s">
        <v>177</v>
      </c>
    </row>
    <row r="318" spans="2:51" s="12" customFormat="1" ht="11.25">
      <c r="B318" s="149"/>
      <c r="D318" s="142" t="s">
        <v>193</v>
      </c>
      <c r="E318" s="150" t="s">
        <v>3</v>
      </c>
      <c r="F318" s="151" t="s">
        <v>2523</v>
      </c>
      <c r="H318" s="152">
        <v>3.6</v>
      </c>
      <c r="I318" s="153"/>
      <c r="L318" s="149"/>
      <c r="M318" s="154"/>
      <c r="T318" s="155"/>
      <c r="AT318" s="150" t="s">
        <v>193</v>
      </c>
      <c r="AU318" s="150" t="s">
        <v>87</v>
      </c>
      <c r="AV318" s="12" t="s">
        <v>87</v>
      </c>
      <c r="AW318" s="12" t="s">
        <v>36</v>
      </c>
      <c r="AX318" s="12" t="s">
        <v>77</v>
      </c>
      <c r="AY318" s="150" t="s">
        <v>177</v>
      </c>
    </row>
    <row r="319" spans="2:51" s="15" customFormat="1" ht="11.25">
      <c r="B319" s="169"/>
      <c r="D319" s="142" t="s">
        <v>193</v>
      </c>
      <c r="E319" s="170" t="s">
        <v>3</v>
      </c>
      <c r="F319" s="171" t="s">
        <v>201</v>
      </c>
      <c r="H319" s="172">
        <v>60.3</v>
      </c>
      <c r="I319" s="173"/>
      <c r="L319" s="169"/>
      <c r="M319" s="174"/>
      <c r="T319" s="175"/>
      <c r="AT319" s="170" t="s">
        <v>193</v>
      </c>
      <c r="AU319" s="170" t="s">
        <v>87</v>
      </c>
      <c r="AV319" s="15" t="s">
        <v>185</v>
      </c>
      <c r="AW319" s="15" t="s">
        <v>36</v>
      </c>
      <c r="AX319" s="15" t="s">
        <v>85</v>
      </c>
      <c r="AY319" s="170" t="s">
        <v>177</v>
      </c>
    </row>
    <row r="320" spans="2:51" s="12" customFormat="1" ht="11.25">
      <c r="B320" s="149"/>
      <c r="D320" s="142" t="s">
        <v>193</v>
      </c>
      <c r="F320" s="151" t="s">
        <v>2524</v>
      </c>
      <c r="H320" s="152">
        <v>63.315</v>
      </c>
      <c r="I320" s="153"/>
      <c r="L320" s="149"/>
      <c r="M320" s="154"/>
      <c r="T320" s="155"/>
      <c r="AT320" s="150" t="s">
        <v>193</v>
      </c>
      <c r="AU320" s="150" t="s">
        <v>87</v>
      </c>
      <c r="AV320" s="12" t="s">
        <v>87</v>
      </c>
      <c r="AW320" s="12" t="s">
        <v>4</v>
      </c>
      <c r="AX320" s="12" t="s">
        <v>85</v>
      </c>
      <c r="AY320" s="150" t="s">
        <v>177</v>
      </c>
    </row>
    <row r="321" spans="2:65" s="1" customFormat="1" ht="24.2" customHeight="1">
      <c r="B321" s="128"/>
      <c r="C321" s="179" t="s">
        <v>1117</v>
      </c>
      <c r="D321" s="179" t="s">
        <v>484</v>
      </c>
      <c r="E321" s="180" t="s">
        <v>2525</v>
      </c>
      <c r="F321" s="181" t="s">
        <v>2526</v>
      </c>
      <c r="G321" s="182" t="s">
        <v>476</v>
      </c>
      <c r="H321" s="183">
        <v>59.535</v>
      </c>
      <c r="I321" s="184"/>
      <c r="J321" s="185">
        <f>ROUND(I321*H321,2)</f>
        <v>0</v>
      </c>
      <c r="K321" s="181" t="s">
        <v>184</v>
      </c>
      <c r="L321" s="186"/>
      <c r="M321" s="187" t="s">
        <v>3</v>
      </c>
      <c r="N321" s="188" t="s">
        <v>48</v>
      </c>
      <c r="P321" s="138">
        <f>O321*H321</f>
        <v>0</v>
      </c>
      <c r="Q321" s="138">
        <v>0.0002</v>
      </c>
      <c r="R321" s="138">
        <f>Q321*H321</f>
        <v>0.011907</v>
      </c>
      <c r="S321" s="138">
        <v>0</v>
      </c>
      <c r="T321" s="139">
        <f>S321*H321</f>
        <v>0</v>
      </c>
      <c r="AR321" s="140" t="s">
        <v>248</v>
      </c>
      <c r="AT321" s="140" t="s">
        <v>484</v>
      </c>
      <c r="AU321" s="140" t="s">
        <v>87</v>
      </c>
      <c r="AY321" s="18" t="s">
        <v>177</v>
      </c>
      <c r="BE321" s="141">
        <f>IF(N321="základní",J321,0)</f>
        <v>0</v>
      </c>
      <c r="BF321" s="141">
        <f>IF(N321="snížená",J321,0)</f>
        <v>0</v>
      </c>
      <c r="BG321" s="141">
        <f>IF(N321="zákl. přenesená",J321,0)</f>
        <v>0</v>
      </c>
      <c r="BH321" s="141">
        <f>IF(N321="sníž. přenesená",J321,0)</f>
        <v>0</v>
      </c>
      <c r="BI321" s="141">
        <f>IF(N321="nulová",J321,0)</f>
        <v>0</v>
      </c>
      <c r="BJ321" s="18" t="s">
        <v>85</v>
      </c>
      <c r="BK321" s="141">
        <f>ROUND(I321*H321,2)</f>
        <v>0</v>
      </c>
      <c r="BL321" s="18" t="s">
        <v>185</v>
      </c>
      <c r="BM321" s="140" t="s">
        <v>2527</v>
      </c>
    </row>
    <row r="322" spans="2:47" s="1" customFormat="1" ht="19.5">
      <c r="B322" s="33"/>
      <c r="D322" s="142" t="s">
        <v>187</v>
      </c>
      <c r="F322" s="143" t="s">
        <v>2526</v>
      </c>
      <c r="I322" s="144"/>
      <c r="L322" s="33"/>
      <c r="M322" s="145"/>
      <c r="T322" s="54"/>
      <c r="AT322" s="18" t="s">
        <v>187</v>
      </c>
      <c r="AU322" s="18" t="s">
        <v>87</v>
      </c>
    </row>
    <row r="323" spans="2:51" s="12" customFormat="1" ht="11.25">
      <c r="B323" s="149"/>
      <c r="D323" s="142" t="s">
        <v>193</v>
      </c>
      <c r="E323" s="150" t="s">
        <v>3</v>
      </c>
      <c r="F323" s="151" t="s">
        <v>2528</v>
      </c>
      <c r="H323" s="152">
        <v>19.2</v>
      </c>
      <c r="I323" s="153"/>
      <c r="L323" s="149"/>
      <c r="M323" s="154"/>
      <c r="T323" s="155"/>
      <c r="AT323" s="150" t="s">
        <v>193</v>
      </c>
      <c r="AU323" s="150" t="s">
        <v>87</v>
      </c>
      <c r="AV323" s="12" t="s">
        <v>87</v>
      </c>
      <c r="AW323" s="12" t="s">
        <v>36</v>
      </c>
      <c r="AX323" s="12" t="s">
        <v>77</v>
      </c>
      <c r="AY323" s="150" t="s">
        <v>177</v>
      </c>
    </row>
    <row r="324" spans="2:51" s="12" customFormat="1" ht="11.25">
      <c r="B324" s="149"/>
      <c r="D324" s="142" t="s">
        <v>193</v>
      </c>
      <c r="E324" s="150" t="s">
        <v>3</v>
      </c>
      <c r="F324" s="151" t="s">
        <v>2529</v>
      </c>
      <c r="H324" s="152">
        <v>6.9</v>
      </c>
      <c r="I324" s="153"/>
      <c r="L324" s="149"/>
      <c r="M324" s="154"/>
      <c r="T324" s="155"/>
      <c r="AT324" s="150" t="s">
        <v>193</v>
      </c>
      <c r="AU324" s="150" t="s">
        <v>87</v>
      </c>
      <c r="AV324" s="12" t="s">
        <v>87</v>
      </c>
      <c r="AW324" s="12" t="s">
        <v>36</v>
      </c>
      <c r="AX324" s="12" t="s">
        <v>77</v>
      </c>
      <c r="AY324" s="150" t="s">
        <v>177</v>
      </c>
    </row>
    <row r="325" spans="2:51" s="12" customFormat="1" ht="11.25">
      <c r="B325" s="149"/>
      <c r="D325" s="142" t="s">
        <v>193</v>
      </c>
      <c r="E325" s="150" t="s">
        <v>3</v>
      </c>
      <c r="F325" s="151" t="s">
        <v>2530</v>
      </c>
      <c r="H325" s="152">
        <v>30.6</v>
      </c>
      <c r="I325" s="153"/>
      <c r="L325" s="149"/>
      <c r="M325" s="154"/>
      <c r="T325" s="155"/>
      <c r="AT325" s="150" t="s">
        <v>193</v>
      </c>
      <c r="AU325" s="150" t="s">
        <v>87</v>
      </c>
      <c r="AV325" s="12" t="s">
        <v>87</v>
      </c>
      <c r="AW325" s="12" t="s">
        <v>36</v>
      </c>
      <c r="AX325" s="12" t="s">
        <v>77</v>
      </c>
      <c r="AY325" s="150" t="s">
        <v>177</v>
      </c>
    </row>
    <row r="326" spans="2:51" s="15" customFormat="1" ht="11.25">
      <c r="B326" s="169"/>
      <c r="D326" s="142" t="s">
        <v>193</v>
      </c>
      <c r="E326" s="170" t="s">
        <v>3</v>
      </c>
      <c r="F326" s="171" t="s">
        <v>201</v>
      </c>
      <c r="H326" s="172">
        <v>56.7</v>
      </c>
      <c r="I326" s="173"/>
      <c r="L326" s="169"/>
      <c r="M326" s="174"/>
      <c r="T326" s="175"/>
      <c r="AT326" s="170" t="s">
        <v>193</v>
      </c>
      <c r="AU326" s="170" t="s">
        <v>87</v>
      </c>
      <c r="AV326" s="15" t="s">
        <v>185</v>
      </c>
      <c r="AW326" s="15" t="s">
        <v>36</v>
      </c>
      <c r="AX326" s="15" t="s">
        <v>85</v>
      </c>
      <c r="AY326" s="170" t="s">
        <v>177</v>
      </c>
    </row>
    <row r="327" spans="2:51" s="12" customFormat="1" ht="11.25">
      <c r="B327" s="149"/>
      <c r="D327" s="142" t="s">
        <v>193</v>
      </c>
      <c r="F327" s="151" t="s">
        <v>2531</v>
      </c>
      <c r="H327" s="152">
        <v>59.535</v>
      </c>
      <c r="I327" s="153"/>
      <c r="L327" s="149"/>
      <c r="M327" s="154"/>
      <c r="T327" s="155"/>
      <c r="AT327" s="150" t="s">
        <v>193</v>
      </c>
      <c r="AU327" s="150" t="s">
        <v>87</v>
      </c>
      <c r="AV327" s="12" t="s">
        <v>87</v>
      </c>
      <c r="AW327" s="12" t="s">
        <v>4</v>
      </c>
      <c r="AX327" s="12" t="s">
        <v>85</v>
      </c>
      <c r="AY327" s="150" t="s">
        <v>177</v>
      </c>
    </row>
    <row r="328" spans="2:65" s="1" customFormat="1" ht="24.2" customHeight="1">
      <c r="B328" s="128"/>
      <c r="C328" s="179" t="s">
        <v>1124</v>
      </c>
      <c r="D328" s="179" t="s">
        <v>484</v>
      </c>
      <c r="E328" s="180" t="s">
        <v>2532</v>
      </c>
      <c r="F328" s="181" t="s">
        <v>2533</v>
      </c>
      <c r="G328" s="182" t="s">
        <v>476</v>
      </c>
      <c r="H328" s="183">
        <v>99.939</v>
      </c>
      <c r="I328" s="184"/>
      <c r="J328" s="185">
        <f>ROUND(I328*H328,2)</f>
        <v>0</v>
      </c>
      <c r="K328" s="181" t="s">
        <v>184</v>
      </c>
      <c r="L328" s="186"/>
      <c r="M328" s="187" t="s">
        <v>3</v>
      </c>
      <c r="N328" s="188" t="s">
        <v>48</v>
      </c>
      <c r="P328" s="138">
        <f>O328*H328</f>
        <v>0</v>
      </c>
      <c r="Q328" s="138">
        <v>0.0002</v>
      </c>
      <c r="R328" s="138">
        <f>Q328*H328</f>
        <v>0.0199878</v>
      </c>
      <c r="S328" s="138">
        <v>0</v>
      </c>
      <c r="T328" s="139">
        <f>S328*H328</f>
        <v>0</v>
      </c>
      <c r="AR328" s="140" t="s">
        <v>248</v>
      </c>
      <c r="AT328" s="140" t="s">
        <v>484</v>
      </c>
      <c r="AU328" s="140" t="s">
        <v>87</v>
      </c>
      <c r="AY328" s="18" t="s">
        <v>177</v>
      </c>
      <c r="BE328" s="141">
        <f>IF(N328="základní",J328,0)</f>
        <v>0</v>
      </c>
      <c r="BF328" s="141">
        <f>IF(N328="snížená",J328,0)</f>
        <v>0</v>
      </c>
      <c r="BG328" s="141">
        <f>IF(N328="zákl. přenesená",J328,0)</f>
        <v>0</v>
      </c>
      <c r="BH328" s="141">
        <f>IF(N328="sníž. přenesená",J328,0)</f>
        <v>0</v>
      </c>
      <c r="BI328" s="141">
        <f>IF(N328="nulová",J328,0)</f>
        <v>0</v>
      </c>
      <c r="BJ328" s="18" t="s">
        <v>85</v>
      </c>
      <c r="BK328" s="141">
        <f>ROUND(I328*H328,2)</f>
        <v>0</v>
      </c>
      <c r="BL328" s="18" t="s">
        <v>185</v>
      </c>
      <c r="BM328" s="140" t="s">
        <v>2534</v>
      </c>
    </row>
    <row r="329" spans="2:47" s="1" customFormat="1" ht="19.5">
      <c r="B329" s="33"/>
      <c r="D329" s="142" t="s">
        <v>187</v>
      </c>
      <c r="F329" s="143" t="s">
        <v>2533</v>
      </c>
      <c r="I329" s="144"/>
      <c r="L329" s="33"/>
      <c r="M329" s="145"/>
      <c r="T329" s="54"/>
      <c r="AT329" s="18" t="s">
        <v>187</v>
      </c>
      <c r="AU329" s="18" t="s">
        <v>87</v>
      </c>
    </row>
    <row r="330" spans="2:51" s="12" customFormat="1" ht="11.25">
      <c r="B330" s="149"/>
      <c r="D330" s="142" t="s">
        <v>193</v>
      </c>
      <c r="E330" s="150" t="s">
        <v>3</v>
      </c>
      <c r="F330" s="151" t="s">
        <v>2535</v>
      </c>
      <c r="H330" s="152">
        <v>79.28</v>
      </c>
      <c r="I330" s="153"/>
      <c r="L330" s="149"/>
      <c r="M330" s="154"/>
      <c r="T330" s="155"/>
      <c r="AT330" s="150" t="s">
        <v>193</v>
      </c>
      <c r="AU330" s="150" t="s">
        <v>87</v>
      </c>
      <c r="AV330" s="12" t="s">
        <v>87</v>
      </c>
      <c r="AW330" s="12" t="s">
        <v>36</v>
      </c>
      <c r="AX330" s="12" t="s">
        <v>77</v>
      </c>
      <c r="AY330" s="150" t="s">
        <v>177</v>
      </c>
    </row>
    <row r="331" spans="2:51" s="13" customFormat="1" ht="11.25">
      <c r="B331" s="156"/>
      <c r="D331" s="142" t="s">
        <v>193</v>
      </c>
      <c r="E331" s="157" t="s">
        <v>3</v>
      </c>
      <c r="F331" s="158" t="s">
        <v>2431</v>
      </c>
      <c r="H331" s="157" t="s">
        <v>3</v>
      </c>
      <c r="I331" s="159"/>
      <c r="L331" s="156"/>
      <c r="M331" s="160"/>
      <c r="T331" s="161"/>
      <c r="AT331" s="157" t="s">
        <v>193</v>
      </c>
      <c r="AU331" s="157" t="s">
        <v>87</v>
      </c>
      <c r="AV331" s="13" t="s">
        <v>85</v>
      </c>
      <c r="AW331" s="13" t="s">
        <v>36</v>
      </c>
      <c r="AX331" s="13" t="s">
        <v>77</v>
      </c>
      <c r="AY331" s="157" t="s">
        <v>177</v>
      </c>
    </row>
    <row r="332" spans="2:51" s="12" customFormat="1" ht="11.25">
      <c r="B332" s="149"/>
      <c r="D332" s="142" t="s">
        <v>193</v>
      </c>
      <c r="E332" s="150" t="s">
        <v>3</v>
      </c>
      <c r="F332" s="151" t="s">
        <v>2536</v>
      </c>
      <c r="H332" s="152">
        <v>15.9</v>
      </c>
      <c r="I332" s="153"/>
      <c r="L332" s="149"/>
      <c r="M332" s="154"/>
      <c r="T332" s="155"/>
      <c r="AT332" s="150" t="s">
        <v>193</v>
      </c>
      <c r="AU332" s="150" t="s">
        <v>87</v>
      </c>
      <c r="AV332" s="12" t="s">
        <v>87</v>
      </c>
      <c r="AW332" s="12" t="s">
        <v>36</v>
      </c>
      <c r="AX332" s="12" t="s">
        <v>77</v>
      </c>
      <c r="AY332" s="150" t="s">
        <v>177</v>
      </c>
    </row>
    <row r="333" spans="2:51" s="15" customFormat="1" ht="11.25">
      <c r="B333" s="169"/>
      <c r="D333" s="142" t="s">
        <v>193</v>
      </c>
      <c r="E333" s="170" t="s">
        <v>3</v>
      </c>
      <c r="F333" s="171" t="s">
        <v>201</v>
      </c>
      <c r="H333" s="172">
        <v>95.18</v>
      </c>
      <c r="I333" s="173"/>
      <c r="L333" s="169"/>
      <c r="M333" s="174"/>
      <c r="T333" s="175"/>
      <c r="AT333" s="170" t="s">
        <v>193</v>
      </c>
      <c r="AU333" s="170" t="s">
        <v>87</v>
      </c>
      <c r="AV333" s="15" t="s">
        <v>185</v>
      </c>
      <c r="AW333" s="15" t="s">
        <v>36</v>
      </c>
      <c r="AX333" s="15" t="s">
        <v>85</v>
      </c>
      <c r="AY333" s="170" t="s">
        <v>177</v>
      </c>
    </row>
    <row r="334" spans="2:51" s="12" customFormat="1" ht="11.25">
      <c r="B334" s="149"/>
      <c r="D334" s="142" t="s">
        <v>193</v>
      </c>
      <c r="F334" s="151" t="s">
        <v>2537</v>
      </c>
      <c r="H334" s="152">
        <v>99.939</v>
      </c>
      <c r="I334" s="153"/>
      <c r="L334" s="149"/>
      <c r="M334" s="154"/>
      <c r="T334" s="155"/>
      <c r="AT334" s="150" t="s">
        <v>193</v>
      </c>
      <c r="AU334" s="150" t="s">
        <v>87</v>
      </c>
      <c r="AV334" s="12" t="s">
        <v>87</v>
      </c>
      <c r="AW334" s="12" t="s">
        <v>4</v>
      </c>
      <c r="AX334" s="12" t="s">
        <v>85</v>
      </c>
      <c r="AY334" s="150" t="s">
        <v>177</v>
      </c>
    </row>
    <row r="335" spans="2:65" s="1" customFormat="1" ht="24.2" customHeight="1">
      <c r="B335" s="128"/>
      <c r="C335" s="179" t="s">
        <v>1130</v>
      </c>
      <c r="D335" s="179" t="s">
        <v>484</v>
      </c>
      <c r="E335" s="180" t="s">
        <v>2538</v>
      </c>
      <c r="F335" s="181" t="s">
        <v>2539</v>
      </c>
      <c r="G335" s="182" t="s">
        <v>476</v>
      </c>
      <c r="H335" s="183">
        <v>8.745</v>
      </c>
      <c r="I335" s="184"/>
      <c r="J335" s="185">
        <f>ROUND(I335*H335,2)</f>
        <v>0</v>
      </c>
      <c r="K335" s="181" t="s">
        <v>184</v>
      </c>
      <c r="L335" s="186"/>
      <c r="M335" s="187" t="s">
        <v>3</v>
      </c>
      <c r="N335" s="188" t="s">
        <v>48</v>
      </c>
      <c r="P335" s="138">
        <f>O335*H335</f>
        <v>0</v>
      </c>
      <c r="Q335" s="138">
        <v>0.0005</v>
      </c>
      <c r="R335" s="138">
        <f>Q335*H335</f>
        <v>0.0043725</v>
      </c>
      <c r="S335" s="138">
        <v>0</v>
      </c>
      <c r="T335" s="139">
        <f>S335*H335</f>
        <v>0</v>
      </c>
      <c r="AR335" s="140" t="s">
        <v>248</v>
      </c>
      <c r="AT335" s="140" t="s">
        <v>484</v>
      </c>
      <c r="AU335" s="140" t="s">
        <v>87</v>
      </c>
      <c r="AY335" s="18" t="s">
        <v>177</v>
      </c>
      <c r="BE335" s="141">
        <f>IF(N335="základní",J335,0)</f>
        <v>0</v>
      </c>
      <c r="BF335" s="141">
        <f>IF(N335="snížená",J335,0)</f>
        <v>0</v>
      </c>
      <c r="BG335" s="141">
        <f>IF(N335="zákl. přenesená",J335,0)</f>
        <v>0</v>
      </c>
      <c r="BH335" s="141">
        <f>IF(N335="sníž. přenesená",J335,0)</f>
        <v>0</v>
      </c>
      <c r="BI335" s="141">
        <f>IF(N335="nulová",J335,0)</f>
        <v>0</v>
      </c>
      <c r="BJ335" s="18" t="s">
        <v>85</v>
      </c>
      <c r="BK335" s="141">
        <f>ROUND(I335*H335,2)</f>
        <v>0</v>
      </c>
      <c r="BL335" s="18" t="s">
        <v>185</v>
      </c>
      <c r="BM335" s="140" t="s">
        <v>2540</v>
      </c>
    </row>
    <row r="336" spans="2:47" s="1" customFormat="1" ht="11.25">
      <c r="B336" s="33"/>
      <c r="D336" s="142" t="s">
        <v>187</v>
      </c>
      <c r="F336" s="143" t="s">
        <v>2539</v>
      </c>
      <c r="I336" s="144"/>
      <c r="L336" s="33"/>
      <c r="M336" s="145"/>
      <c r="T336" s="54"/>
      <c r="AT336" s="18" t="s">
        <v>187</v>
      </c>
      <c r="AU336" s="18" t="s">
        <v>87</v>
      </c>
    </row>
    <row r="337" spans="2:51" s="13" customFormat="1" ht="11.25">
      <c r="B337" s="156"/>
      <c r="D337" s="142" t="s">
        <v>193</v>
      </c>
      <c r="E337" s="157" t="s">
        <v>3</v>
      </c>
      <c r="F337" s="158" t="s">
        <v>2431</v>
      </c>
      <c r="H337" s="157" t="s">
        <v>3</v>
      </c>
      <c r="I337" s="159"/>
      <c r="L337" s="156"/>
      <c r="M337" s="160"/>
      <c r="T337" s="161"/>
      <c r="AT337" s="157" t="s">
        <v>193</v>
      </c>
      <c r="AU337" s="157" t="s">
        <v>87</v>
      </c>
      <c r="AV337" s="13" t="s">
        <v>85</v>
      </c>
      <c r="AW337" s="13" t="s">
        <v>36</v>
      </c>
      <c r="AX337" s="13" t="s">
        <v>77</v>
      </c>
      <c r="AY337" s="157" t="s">
        <v>177</v>
      </c>
    </row>
    <row r="338" spans="2:51" s="12" customFormat="1" ht="11.25">
      <c r="B338" s="149"/>
      <c r="D338" s="142" t="s">
        <v>193</v>
      </c>
      <c r="E338" s="150" t="s">
        <v>3</v>
      </c>
      <c r="F338" s="151" t="s">
        <v>2541</v>
      </c>
      <c r="H338" s="152">
        <v>7.95</v>
      </c>
      <c r="I338" s="153"/>
      <c r="L338" s="149"/>
      <c r="M338" s="154"/>
      <c r="T338" s="155"/>
      <c r="AT338" s="150" t="s">
        <v>193</v>
      </c>
      <c r="AU338" s="150" t="s">
        <v>87</v>
      </c>
      <c r="AV338" s="12" t="s">
        <v>87</v>
      </c>
      <c r="AW338" s="12" t="s">
        <v>36</v>
      </c>
      <c r="AX338" s="12" t="s">
        <v>85</v>
      </c>
      <c r="AY338" s="150" t="s">
        <v>177</v>
      </c>
    </row>
    <row r="339" spans="2:51" s="12" customFormat="1" ht="11.25">
      <c r="B339" s="149"/>
      <c r="D339" s="142" t="s">
        <v>193</v>
      </c>
      <c r="F339" s="151" t="s">
        <v>2542</v>
      </c>
      <c r="H339" s="152">
        <v>8.745</v>
      </c>
      <c r="I339" s="153"/>
      <c r="L339" s="149"/>
      <c r="M339" s="154"/>
      <c r="T339" s="155"/>
      <c r="AT339" s="150" t="s">
        <v>193</v>
      </c>
      <c r="AU339" s="150" t="s">
        <v>87</v>
      </c>
      <c r="AV339" s="12" t="s">
        <v>87</v>
      </c>
      <c r="AW339" s="12" t="s">
        <v>4</v>
      </c>
      <c r="AX339" s="12" t="s">
        <v>85</v>
      </c>
      <c r="AY339" s="150" t="s">
        <v>177</v>
      </c>
    </row>
    <row r="340" spans="2:65" s="1" customFormat="1" ht="24.2" customHeight="1">
      <c r="B340" s="128"/>
      <c r="C340" s="129" t="s">
        <v>1132</v>
      </c>
      <c r="D340" s="129" t="s">
        <v>180</v>
      </c>
      <c r="E340" s="130" t="s">
        <v>2543</v>
      </c>
      <c r="F340" s="131" t="s">
        <v>2544</v>
      </c>
      <c r="G340" s="132" t="s">
        <v>332</v>
      </c>
      <c r="H340" s="133">
        <v>7.386</v>
      </c>
      <c r="I340" s="134"/>
      <c r="J340" s="135">
        <f>ROUND(I340*H340,2)</f>
        <v>0</v>
      </c>
      <c r="K340" s="131" t="s">
        <v>184</v>
      </c>
      <c r="L340" s="33"/>
      <c r="M340" s="136" t="s">
        <v>3</v>
      </c>
      <c r="N340" s="137" t="s">
        <v>48</v>
      </c>
      <c r="P340" s="138">
        <f>O340*H340</f>
        <v>0</v>
      </c>
      <c r="Q340" s="138">
        <v>0.0231</v>
      </c>
      <c r="R340" s="138">
        <f>Q340*H340</f>
        <v>0.1706166</v>
      </c>
      <c r="S340" s="138">
        <v>0</v>
      </c>
      <c r="T340" s="139">
        <f>S340*H340</f>
        <v>0</v>
      </c>
      <c r="AR340" s="140" t="s">
        <v>185</v>
      </c>
      <c r="AT340" s="140" t="s">
        <v>180</v>
      </c>
      <c r="AU340" s="140" t="s">
        <v>87</v>
      </c>
      <c r="AY340" s="18" t="s">
        <v>177</v>
      </c>
      <c r="BE340" s="141">
        <f>IF(N340="základní",J340,0)</f>
        <v>0</v>
      </c>
      <c r="BF340" s="141">
        <f>IF(N340="snížená",J340,0)</f>
        <v>0</v>
      </c>
      <c r="BG340" s="141">
        <f>IF(N340="zákl. přenesená",J340,0)</f>
        <v>0</v>
      </c>
      <c r="BH340" s="141">
        <f>IF(N340="sníž. přenesená",J340,0)</f>
        <v>0</v>
      </c>
      <c r="BI340" s="141">
        <f>IF(N340="nulová",J340,0)</f>
        <v>0</v>
      </c>
      <c r="BJ340" s="18" t="s">
        <v>85</v>
      </c>
      <c r="BK340" s="141">
        <f>ROUND(I340*H340,2)</f>
        <v>0</v>
      </c>
      <c r="BL340" s="18" t="s">
        <v>185</v>
      </c>
      <c r="BM340" s="140" t="s">
        <v>2545</v>
      </c>
    </row>
    <row r="341" spans="2:47" s="1" customFormat="1" ht="19.5">
      <c r="B341" s="33"/>
      <c r="D341" s="142" t="s">
        <v>187</v>
      </c>
      <c r="F341" s="143" t="s">
        <v>2546</v>
      </c>
      <c r="I341" s="144"/>
      <c r="L341" s="33"/>
      <c r="M341" s="145"/>
      <c r="T341" s="54"/>
      <c r="AT341" s="18" t="s">
        <v>187</v>
      </c>
      <c r="AU341" s="18" t="s">
        <v>87</v>
      </c>
    </row>
    <row r="342" spans="2:47" s="1" customFormat="1" ht="11.25">
      <c r="B342" s="33"/>
      <c r="D342" s="146" t="s">
        <v>189</v>
      </c>
      <c r="F342" s="147" t="s">
        <v>2547</v>
      </c>
      <c r="I342" s="144"/>
      <c r="L342" s="33"/>
      <c r="M342" s="145"/>
      <c r="T342" s="54"/>
      <c r="AT342" s="18" t="s">
        <v>189</v>
      </c>
      <c r="AU342" s="18" t="s">
        <v>87</v>
      </c>
    </row>
    <row r="343" spans="2:47" s="1" customFormat="1" ht="58.5">
      <c r="B343" s="33"/>
      <c r="D343" s="142" t="s">
        <v>191</v>
      </c>
      <c r="F343" s="148" t="s">
        <v>2548</v>
      </c>
      <c r="I343" s="144"/>
      <c r="L343" s="33"/>
      <c r="M343" s="145"/>
      <c r="T343" s="54"/>
      <c r="AT343" s="18" t="s">
        <v>191</v>
      </c>
      <c r="AU343" s="18" t="s">
        <v>87</v>
      </c>
    </row>
    <row r="344" spans="2:51" s="13" customFormat="1" ht="11.25">
      <c r="B344" s="156"/>
      <c r="D344" s="142" t="s">
        <v>193</v>
      </c>
      <c r="E344" s="157" t="s">
        <v>3</v>
      </c>
      <c r="F344" s="158" t="s">
        <v>2325</v>
      </c>
      <c r="H344" s="157" t="s">
        <v>3</v>
      </c>
      <c r="I344" s="159"/>
      <c r="L344" s="156"/>
      <c r="M344" s="160"/>
      <c r="T344" s="161"/>
      <c r="AT344" s="157" t="s">
        <v>193</v>
      </c>
      <c r="AU344" s="157" t="s">
        <v>87</v>
      </c>
      <c r="AV344" s="13" t="s">
        <v>85</v>
      </c>
      <c r="AW344" s="13" t="s">
        <v>36</v>
      </c>
      <c r="AX344" s="13" t="s">
        <v>77</v>
      </c>
      <c r="AY344" s="157" t="s">
        <v>177</v>
      </c>
    </row>
    <row r="345" spans="2:51" s="12" customFormat="1" ht="11.25">
      <c r="B345" s="149"/>
      <c r="D345" s="142" t="s">
        <v>193</v>
      </c>
      <c r="E345" s="150" t="s">
        <v>3</v>
      </c>
      <c r="F345" s="151" t="s">
        <v>2549</v>
      </c>
      <c r="H345" s="152">
        <v>2.746</v>
      </c>
      <c r="I345" s="153"/>
      <c r="L345" s="149"/>
      <c r="M345" s="154"/>
      <c r="T345" s="155"/>
      <c r="AT345" s="150" t="s">
        <v>193</v>
      </c>
      <c r="AU345" s="150" t="s">
        <v>87</v>
      </c>
      <c r="AV345" s="12" t="s">
        <v>87</v>
      </c>
      <c r="AW345" s="12" t="s">
        <v>36</v>
      </c>
      <c r="AX345" s="12" t="s">
        <v>77</v>
      </c>
      <c r="AY345" s="150" t="s">
        <v>177</v>
      </c>
    </row>
    <row r="346" spans="2:51" s="12" customFormat="1" ht="11.25">
      <c r="B346" s="149"/>
      <c r="D346" s="142" t="s">
        <v>193</v>
      </c>
      <c r="E346" s="150" t="s">
        <v>3</v>
      </c>
      <c r="F346" s="151" t="s">
        <v>2550</v>
      </c>
      <c r="H346" s="152">
        <v>1.14</v>
      </c>
      <c r="I346" s="153"/>
      <c r="L346" s="149"/>
      <c r="M346" s="154"/>
      <c r="T346" s="155"/>
      <c r="AT346" s="150" t="s">
        <v>193</v>
      </c>
      <c r="AU346" s="150" t="s">
        <v>87</v>
      </c>
      <c r="AV346" s="12" t="s">
        <v>87</v>
      </c>
      <c r="AW346" s="12" t="s">
        <v>36</v>
      </c>
      <c r="AX346" s="12" t="s">
        <v>77</v>
      </c>
      <c r="AY346" s="150" t="s">
        <v>177</v>
      </c>
    </row>
    <row r="347" spans="2:51" s="12" customFormat="1" ht="11.25">
      <c r="B347" s="149"/>
      <c r="D347" s="142" t="s">
        <v>193</v>
      </c>
      <c r="E347" s="150" t="s">
        <v>3</v>
      </c>
      <c r="F347" s="151" t="s">
        <v>2551</v>
      </c>
      <c r="H347" s="152">
        <v>3.5</v>
      </c>
      <c r="I347" s="153"/>
      <c r="L347" s="149"/>
      <c r="M347" s="154"/>
      <c r="T347" s="155"/>
      <c r="AT347" s="150" t="s">
        <v>193</v>
      </c>
      <c r="AU347" s="150" t="s">
        <v>87</v>
      </c>
      <c r="AV347" s="12" t="s">
        <v>87</v>
      </c>
      <c r="AW347" s="12" t="s">
        <v>36</v>
      </c>
      <c r="AX347" s="12" t="s">
        <v>77</v>
      </c>
      <c r="AY347" s="150" t="s">
        <v>177</v>
      </c>
    </row>
    <row r="348" spans="2:51" s="15" customFormat="1" ht="11.25">
      <c r="B348" s="169"/>
      <c r="D348" s="142" t="s">
        <v>193</v>
      </c>
      <c r="E348" s="170" t="s">
        <v>3</v>
      </c>
      <c r="F348" s="171" t="s">
        <v>201</v>
      </c>
      <c r="H348" s="172">
        <v>7.386</v>
      </c>
      <c r="I348" s="173"/>
      <c r="L348" s="169"/>
      <c r="M348" s="174"/>
      <c r="T348" s="175"/>
      <c r="AT348" s="170" t="s">
        <v>193</v>
      </c>
      <c r="AU348" s="170" t="s">
        <v>87</v>
      </c>
      <c r="AV348" s="15" t="s">
        <v>185</v>
      </c>
      <c r="AW348" s="15" t="s">
        <v>36</v>
      </c>
      <c r="AX348" s="15" t="s">
        <v>85</v>
      </c>
      <c r="AY348" s="170" t="s">
        <v>177</v>
      </c>
    </row>
    <row r="349" spans="2:65" s="1" customFormat="1" ht="24.2" customHeight="1">
      <c r="B349" s="128"/>
      <c r="C349" s="129" t="s">
        <v>1134</v>
      </c>
      <c r="D349" s="129" t="s">
        <v>180</v>
      </c>
      <c r="E349" s="130" t="s">
        <v>2552</v>
      </c>
      <c r="F349" s="131" t="s">
        <v>2553</v>
      </c>
      <c r="G349" s="132" t="s">
        <v>332</v>
      </c>
      <c r="H349" s="133">
        <v>14.772</v>
      </c>
      <c r="I349" s="134"/>
      <c r="J349" s="135">
        <f>ROUND(I349*H349,2)</f>
        <v>0</v>
      </c>
      <c r="K349" s="131" t="s">
        <v>184</v>
      </c>
      <c r="L349" s="33"/>
      <c r="M349" s="136" t="s">
        <v>3</v>
      </c>
      <c r="N349" s="137" t="s">
        <v>48</v>
      </c>
      <c r="P349" s="138">
        <f>O349*H349</f>
        <v>0</v>
      </c>
      <c r="Q349" s="138">
        <v>0.0079</v>
      </c>
      <c r="R349" s="138">
        <f>Q349*H349</f>
        <v>0.11669880000000002</v>
      </c>
      <c r="S349" s="138">
        <v>0</v>
      </c>
      <c r="T349" s="139">
        <f>S349*H349</f>
        <v>0</v>
      </c>
      <c r="AR349" s="140" t="s">
        <v>185</v>
      </c>
      <c r="AT349" s="140" t="s">
        <v>180</v>
      </c>
      <c r="AU349" s="140" t="s">
        <v>87</v>
      </c>
      <c r="AY349" s="18" t="s">
        <v>177</v>
      </c>
      <c r="BE349" s="141">
        <f>IF(N349="základní",J349,0)</f>
        <v>0</v>
      </c>
      <c r="BF349" s="141">
        <f>IF(N349="snížená",J349,0)</f>
        <v>0</v>
      </c>
      <c r="BG349" s="141">
        <f>IF(N349="zákl. přenesená",J349,0)</f>
        <v>0</v>
      </c>
      <c r="BH349" s="141">
        <f>IF(N349="sníž. přenesená",J349,0)</f>
        <v>0</v>
      </c>
      <c r="BI349" s="141">
        <f>IF(N349="nulová",J349,0)</f>
        <v>0</v>
      </c>
      <c r="BJ349" s="18" t="s">
        <v>85</v>
      </c>
      <c r="BK349" s="141">
        <f>ROUND(I349*H349,2)</f>
        <v>0</v>
      </c>
      <c r="BL349" s="18" t="s">
        <v>185</v>
      </c>
      <c r="BM349" s="140" t="s">
        <v>2554</v>
      </c>
    </row>
    <row r="350" spans="2:47" s="1" customFormat="1" ht="29.25">
      <c r="B350" s="33"/>
      <c r="D350" s="142" t="s">
        <v>187</v>
      </c>
      <c r="F350" s="143" t="s">
        <v>2555</v>
      </c>
      <c r="I350" s="144"/>
      <c r="L350" s="33"/>
      <c r="M350" s="145"/>
      <c r="T350" s="54"/>
      <c r="AT350" s="18" t="s">
        <v>187</v>
      </c>
      <c r="AU350" s="18" t="s">
        <v>87</v>
      </c>
    </row>
    <row r="351" spans="2:47" s="1" customFormat="1" ht="11.25">
      <c r="B351" s="33"/>
      <c r="D351" s="146" t="s">
        <v>189</v>
      </c>
      <c r="F351" s="147" t="s">
        <v>2556</v>
      </c>
      <c r="I351" s="144"/>
      <c r="L351" s="33"/>
      <c r="M351" s="145"/>
      <c r="T351" s="54"/>
      <c r="AT351" s="18" t="s">
        <v>189</v>
      </c>
      <c r="AU351" s="18" t="s">
        <v>87</v>
      </c>
    </row>
    <row r="352" spans="2:47" s="1" customFormat="1" ht="58.5">
      <c r="B352" s="33"/>
      <c r="D352" s="142" t="s">
        <v>191</v>
      </c>
      <c r="F352" s="148" t="s">
        <v>2548</v>
      </c>
      <c r="I352" s="144"/>
      <c r="L352" s="33"/>
      <c r="M352" s="145"/>
      <c r="T352" s="54"/>
      <c r="AT352" s="18" t="s">
        <v>191</v>
      </c>
      <c r="AU352" s="18" t="s">
        <v>87</v>
      </c>
    </row>
    <row r="353" spans="2:51" s="12" customFormat="1" ht="11.25">
      <c r="B353" s="149"/>
      <c r="D353" s="142" t="s">
        <v>193</v>
      </c>
      <c r="E353" s="150" t="s">
        <v>3</v>
      </c>
      <c r="F353" s="151" t="s">
        <v>2557</v>
      </c>
      <c r="H353" s="152">
        <v>14.772</v>
      </c>
      <c r="I353" s="153"/>
      <c r="L353" s="149"/>
      <c r="M353" s="154"/>
      <c r="T353" s="155"/>
      <c r="AT353" s="150" t="s">
        <v>193</v>
      </c>
      <c r="AU353" s="150" t="s">
        <v>87</v>
      </c>
      <c r="AV353" s="12" t="s">
        <v>87</v>
      </c>
      <c r="AW353" s="12" t="s">
        <v>36</v>
      </c>
      <c r="AX353" s="12" t="s">
        <v>85</v>
      </c>
      <c r="AY353" s="150" t="s">
        <v>177</v>
      </c>
    </row>
    <row r="354" spans="2:65" s="1" customFormat="1" ht="24.2" customHeight="1">
      <c r="B354" s="128"/>
      <c r="C354" s="129" t="s">
        <v>1140</v>
      </c>
      <c r="D354" s="129" t="s">
        <v>180</v>
      </c>
      <c r="E354" s="130" t="s">
        <v>2558</v>
      </c>
      <c r="F354" s="131" t="s">
        <v>2559</v>
      </c>
      <c r="G354" s="132" t="s">
        <v>332</v>
      </c>
      <c r="H354" s="133">
        <v>35.193</v>
      </c>
      <c r="I354" s="134"/>
      <c r="J354" s="135">
        <f>ROUND(I354*H354,2)</f>
        <v>0</v>
      </c>
      <c r="K354" s="131" t="s">
        <v>184</v>
      </c>
      <c r="L354" s="33"/>
      <c r="M354" s="136" t="s">
        <v>3</v>
      </c>
      <c r="N354" s="137" t="s">
        <v>48</v>
      </c>
      <c r="P354" s="138">
        <f>O354*H354</f>
        <v>0</v>
      </c>
      <c r="Q354" s="138">
        <v>0.0057</v>
      </c>
      <c r="R354" s="138">
        <f>Q354*H354</f>
        <v>0.2006001</v>
      </c>
      <c r="S354" s="138">
        <v>0</v>
      </c>
      <c r="T354" s="139">
        <f>S354*H354</f>
        <v>0</v>
      </c>
      <c r="AR354" s="140" t="s">
        <v>185</v>
      </c>
      <c r="AT354" s="140" t="s">
        <v>180</v>
      </c>
      <c r="AU354" s="140" t="s">
        <v>87</v>
      </c>
      <c r="AY354" s="18" t="s">
        <v>177</v>
      </c>
      <c r="BE354" s="141">
        <f>IF(N354="základní",J354,0)</f>
        <v>0</v>
      </c>
      <c r="BF354" s="141">
        <f>IF(N354="snížená",J354,0)</f>
        <v>0</v>
      </c>
      <c r="BG354" s="141">
        <f>IF(N354="zákl. přenesená",J354,0)</f>
        <v>0</v>
      </c>
      <c r="BH354" s="141">
        <f>IF(N354="sníž. přenesená",J354,0)</f>
        <v>0</v>
      </c>
      <c r="BI354" s="141">
        <f>IF(N354="nulová",J354,0)</f>
        <v>0</v>
      </c>
      <c r="BJ354" s="18" t="s">
        <v>85</v>
      </c>
      <c r="BK354" s="141">
        <f>ROUND(I354*H354,2)</f>
        <v>0</v>
      </c>
      <c r="BL354" s="18" t="s">
        <v>185</v>
      </c>
      <c r="BM354" s="140" t="s">
        <v>2560</v>
      </c>
    </row>
    <row r="355" spans="2:47" s="1" customFormat="1" ht="19.5">
      <c r="B355" s="33"/>
      <c r="D355" s="142" t="s">
        <v>187</v>
      </c>
      <c r="F355" s="143" t="s">
        <v>2561</v>
      </c>
      <c r="I355" s="144"/>
      <c r="L355" s="33"/>
      <c r="M355" s="145"/>
      <c r="T355" s="54"/>
      <c r="AT355" s="18" t="s">
        <v>187</v>
      </c>
      <c r="AU355" s="18" t="s">
        <v>87</v>
      </c>
    </row>
    <row r="356" spans="2:47" s="1" customFormat="1" ht="11.25">
      <c r="B356" s="33"/>
      <c r="D356" s="146" t="s">
        <v>189</v>
      </c>
      <c r="F356" s="147" t="s">
        <v>2562</v>
      </c>
      <c r="I356" s="144"/>
      <c r="L356" s="33"/>
      <c r="M356" s="145"/>
      <c r="T356" s="54"/>
      <c r="AT356" s="18" t="s">
        <v>189</v>
      </c>
      <c r="AU356" s="18" t="s">
        <v>87</v>
      </c>
    </row>
    <row r="357" spans="2:51" s="13" customFormat="1" ht="11.25">
      <c r="B357" s="156"/>
      <c r="D357" s="142" t="s">
        <v>193</v>
      </c>
      <c r="E357" s="157" t="s">
        <v>3</v>
      </c>
      <c r="F357" s="158" t="s">
        <v>2401</v>
      </c>
      <c r="H357" s="157" t="s">
        <v>3</v>
      </c>
      <c r="I357" s="159"/>
      <c r="L357" s="156"/>
      <c r="M357" s="160"/>
      <c r="T357" s="161"/>
      <c r="AT357" s="157" t="s">
        <v>193</v>
      </c>
      <c r="AU357" s="157" t="s">
        <v>87</v>
      </c>
      <c r="AV357" s="13" t="s">
        <v>85</v>
      </c>
      <c r="AW357" s="13" t="s">
        <v>36</v>
      </c>
      <c r="AX357" s="13" t="s">
        <v>77</v>
      </c>
      <c r="AY357" s="157" t="s">
        <v>177</v>
      </c>
    </row>
    <row r="358" spans="2:51" s="12" customFormat="1" ht="11.25">
      <c r="B358" s="149"/>
      <c r="D358" s="142" t="s">
        <v>193</v>
      </c>
      <c r="E358" s="150" t="s">
        <v>3</v>
      </c>
      <c r="F358" s="151" t="s">
        <v>2402</v>
      </c>
      <c r="H358" s="152">
        <v>4.039</v>
      </c>
      <c r="I358" s="153"/>
      <c r="L358" s="149"/>
      <c r="M358" s="154"/>
      <c r="T358" s="155"/>
      <c r="AT358" s="150" t="s">
        <v>193</v>
      </c>
      <c r="AU358" s="150" t="s">
        <v>87</v>
      </c>
      <c r="AV358" s="12" t="s">
        <v>87</v>
      </c>
      <c r="AW358" s="12" t="s">
        <v>36</v>
      </c>
      <c r="AX358" s="12" t="s">
        <v>77</v>
      </c>
      <c r="AY358" s="150" t="s">
        <v>177</v>
      </c>
    </row>
    <row r="359" spans="2:51" s="13" customFormat="1" ht="11.25">
      <c r="B359" s="156"/>
      <c r="D359" s="142" t="s">
        <v>193</v>
      </c>
      <c r="E359" s="157" t="s">
        <v>3</v>
      </c>
      <c r="F359" s="158" t="s">
        <v>2403</v>
      </c>
      <c r="H359" s="157" t="s">
        <v>3</v>
      </c>
      <c r="I359" s="159"/>
      <c r="L359" s="156"/>
      <c r="M359" s="160"/>
      <c r="T359" s="161"/>
      <c r="AT359" s="157" t="s">
        <v>193</v>
      </c>
      <c r="AU359" s="157" t="s">
        <v>87</v>
      </c>
      <c r="AV359" s="13" t="s">
        <v>85</v>
      </c>
      <c r="AW359" s="13" t="s">
        <v>36</v>
      </c>
      <c r="AX359" s="13" t="s">
        <v>77</v>
      </c>
      <c r="AY359" s="157" t="s">
        <v>177</v>
      </c>
    </row>
    <row r="360" spans="2:51" s="12" customFormat="1" ht="11.25">
      <c r="B360" s="149"/>
      <c r="D360" s="142" t="s">
        <v>193</v>
      </c>
      <c r="E360" s="150" t="s">
        <v>3</v>
      </c>
      <c r="F360" s="151" t="s">
        <v>2404</v>
      </c>
      <c r="H360" s="152">
        <v>23.5</v>
      </c>
      <c r="I360" s="153"/>
      <c r="L360" s="149"/>
      <c r="M360" s="154"/>
      <c r="T360" s="155"/>
      <c r="AT360" s="150" t="s">
        <v>193</v>
      </c>
      <c r="AU360" s="150" t="s">
        <v>87</v>
      </c>
      <c r="AV360" s="12" t="s">
        <v>87</v>
      </c>
      <c r="AW360" s="12" t="s">
        <v>36</v>
      </c>
      <c r="AX360" s="12" t="s">
        <v>77</v>
      </c>
      <c r="AY360" s="150" t="s">
        <v>177</v>
      </c>
    </row>
    <row r="361" spans="2:51" s="13" customFormat="1" ht="11.25">
      <c r="B361" s="156"/>
      <c r="D361" s="142" t="s">
        <v>193</v>
      </c>
      <c r="E361" s="157" t="s">
        <v>3</v>
      </c>
      <c r="F361" s="158" t="s">
        <v>2405</v>
      </c>
      <c r="H361" s="157" t="s">
        <v>3</v>
      </c>
      <c r="I361" s="159"/>
      <c r="L361" s="156"/>
      <c r="M361" s="160"/>
      <c r="T361" s="161"/>
      <c r="AT361" s="157" t="s">
        <v>193</v>
      </c>
      <c r="AU361" s="157" t="s">
        <v>87</v>
      </c>
      <c r="AV361" s="13" t="s">
        <v>85</v>
      </c>
      <c r="AW361" s="13" t="s">
        <v>36</v>
      </c>
      <c r="AX361" s="13" t="s">
        <v>77</v>
      </c>
      <c r="AY361" s="157" t="s">
        <v>177</v>
      </c>
    </row>
    <row r="362" spans="2:51" s="12" customFormat="1" ht="11.25">
      <c r="B362" s="149"/>
      <c r="D362" s="142" t="s">
        <v>193</v>
      </c>
      <c r="E362" s="150" t="s">
        <v>3</v>
      </c>
      <c r="F362" s="151" t="s">
        <v>77</v>
      </c>
      <c r="H362" s="152">
        <v>0</v>
      </c>
      <c r="I362" s="153"/>
      <c r="L362" s="149"/>
      <c r="M362" s="154"/>
      <c r="T362" s="155"/>
      <c r="AT362" s="150" t="s">
        <v>193</v>
      </c>
      <c r="AU362" s="150" t="s">
        <v>87</v>
      </c>
      <c r="AV362" s="12" t="s">
        <v>87</v>
      </c>
      <c r="AW362" s="12" t="s">
        <v>36</v>
      </c>
      <c r="AX362" s="12" t="s">
        <v>77</v>
      </c>
      <c r="AY362" s="150" t="s">
        <v>177</v>
      </c>
    </row>
    <row r="363" spans="2:51" s="13" customFormat="1" ht="11.25">
      <c r="B363" s="156"/>
      <c r="D363" s="142" t="s">
        <v>193</v>
      </c>
      <c r="E363" s="157" t="s">
        <v>3</v>
      </c>
      <c r="F363" s="158" t="s">
        <v>2406</v>
      </c>
      <c r="H363" s="157" t="s">
        <v>3</v>
      </c>
      <c r="I363" s="159"/>
      <c r="L363" s="156"/>
      <c r="M363" s="160"/>
      <c r="T363" s="161"/>
      <c r="AT363" s="157" t="s">
        <v>193</v>
      </c>
      <c r="AU363" s="157" t="s">
        <v>87</v>
      </c>
      <c r="AV363" s="13" t="s">
        <v>85</v>
      </c>
      <c r="AW363" s="13" t="s">
        <v>36</v>
      </c>
      <c r="AX363" s="13" t="s">
        <v>77</v>
      </c>
      <c r="AY363" s="157" t="s">
        <v>177</v>
      </c>
    </row>
    <row r="364" spans="2:51" s="12" customFormat="1" ht="11.25">
      <c r="B364" s="149"/>
      <c r="D364" s="142" t="s">
        <v>193</v>
      </c>
      <c r="E364" s="150" t="s">
        <v>3</v>
      </c>
      <c r="F364" s="151" t="s">
        <v>2407</v>
      </c>
      <c r="H364" s="152">
        <v>7.654</v>
      </c>
      <c r="I364" s="153"/>
      <c r="L364" s="149"/>
      <c r="M364" s="154"/>
      <c r="T364" s="155"/>
      <c r="AT364" s="150" t="s">
        <v>193</v>
      </c>
      <c r="AU364" s="150" t="s">
        <v>87</v>
      </c>
      <c r="AV364" s="12" t="s">
        <v>87</v>
      </c>
      <c r="AW364" s="12" t="s">
        <v>36</v>
      </c>
      <c r="AX364" s="12" t="s">
        <v>77</v>
      </c>
      <c r="AY364" s="150" t="s">
        <v>177</v>
      </c>
    </row>
    <row r="365" spans="2:51" s="15" customFormat="1" ht="11.25">
      <c r="B365" s="169"/>
      <c r="D365" s="142" t="s">
        <v>193</v>
      </c>
      <c r="E365" s="170" t="s">
        <v>3</v>
      </c>
      <c r="F365" s="171" t="s">
        <v>201</v>
      </c>
      <c r="H365" s="172">
        <v>35.193</v>
      </c>
      <c r="I365" s="173"/>
      <c r="L365" s="169"/>
      <c r="M365" s="174"/>
      <c r="T365" s="175"/>
      <c r="AT365" s="170" t="s">
        <v>193</v>
      </c>
      <c r="AU365" s="170" t="s">
        <v>87</v>
      </c>
      <c r="AV365" s="15" t="s">
        <v>185</v>
      </c>
      <c r="AW365" s="15" t="s">
        <v>36</v>
      </c>
      <c r="AX365" s="15" t="s">
        <v>85</v>
      </c>
      <c r="AY365" s="170" t="s">
        <v>177</v>
      </c>
    </row>
    <row r="366" spans="2:65" s="1" customFormat="1" ht="24.2" customHeight="1">
      <c r="B366" s="128"/>
      <c r="C366" s="129" t="s">
        <v>1144</v>
      </c>
      <c r="D366" s="129" t="s">
        <v>180</v>
      </c>
      <c r="E366" s="130" t="s">
        <v>2563</v>
      </c>
      <c r="F366" s="131" t="s">
        <v>2564</v>
      </c>
      <c r="G366" s="132" t="s">
        <v>332</v>
      </c>
      <c r="H366" s="133">
        <v>506.597</v>
      </c>
      <c r="I366" s="134"/>
      <c r="J366" s="135">
        <f>ROUND(I366*H366,2)</f>
        <v>0</v>
      </c>
      <c r="K366" s="131" t="s">
        <v>184</v>
      </c>
      <c r="L366" s="33"/>
      <c r="M366" s="136" t="s">
        <v>3</v>
      </c>
      <c r="N366" s="137" t="s">
        <v>48</v>
      </c>
      <c r="P366" s="138">
        <f>O366*H366</f>
        <v>0</v>
      </c>
      <c r="Q366" s="138">
        <v>0.0033</v>
      </c>
      <c r="R366" s="138">
        <f>Q366*H366</f>
        <v>1.6717700999999998</v>
      </c>
      <c r="S366" s="138">
        <v>0</v>
      </c>
      <c r="T366" s="139">
        <f>S366*H366</f>
        <v>0</v>
      </c>
      <c r="AR366" s="140" t="s">
        <v>185</v>
      </c>
      <c r="AT366" s="140" t="s">
        <v>180</v>
      </c>
      <c r="AU366" s="140" t="s">
        <v>87</v>
      </c>
      <c r="AY366" s="18" t="s">
        <v>177</v>
      </c>
      <c r="BE366" s="141">
        <f>IF(N366="základní",J366,0)</f>
        <v>0</v>
      </c>
      <c r="BF366" s="141">
        <f>IF(N366="snížená",J366,0)</f>
        <v>0</v>
      </c>
      <c r="BG366" s="141">
        <f>IF(N366="zákl. přenesená",J366,0)</f>
        <v>0</v>
      </c>
      <c r="BH366" s="141">
        <f>IF(N366="sníž. přenesená",J366,0)</f>
        <v>0</v>
      </c>
      <c r="BI366" s="141">
        <f>IF(N366="nulová",J366,0)</f>
        <v>0</v>
      </c>
      <c r="BJ366" s="18" t="s">
        <v>85</v>
      </c>
      <c r="BK366" s="141">
        <f>ROUND(I366*H366,2)</f>
        <v>0</v>
      </c>
      <c r="BL366" s="18" t="s">
        <v>185</v>
      </c>
      <c r="BM366" s="140" t="s">
        <v>2565</v>
      </c>
    </row>
    <row r="367" spans="2:47" s="1" customFormat="1" ht="19.5">
      <c r="B367" s="33"/>
      <c r="D367" s="142" t="s">
        <v>187</v>
      </c>
      <c r="F367" s="143" t="s">
        <v>2566</v>
      </c>
      <c r="I367" s="144"/>
      <c r="L367" s="33"/>
      <c r="M367" s="145"/>
      <c r="T367" s="54"/>
      <c r="AT367" s="18" t="s">
        <v>187</v>
      </c>
      <c r="AU367" s="18" t="s">
        <v>87</v>
      </c>
    </row>
    <row r="368" spans="2:47" s="1" customFormat="1" ht="11.25">
      <c r="B368" s="33"/>
      <c r="D368" s="146" t="s">
        <v>189</v>
      </c>
      <c r="F368" s="147" t="s">
        <v>2567</v>
      </c>
      <c r="I368" s="144"/>
      <c r="L368" s="33"/>
      <c r="M368" s="145"/>
      <c r="T368" s="54"/>
      <c r="AT368" s="18" t="s">
        <v>189</v>
      </c>
      <c r="AU368" s="18" t="s">
        <v>87</v>
      </c>
    </row>
    <row r="369" spans="2:51" s="13" customFormat="1" ht="11.25">
      <c r="B369" s="156"/>
      <c r="D369" s="142" t="s">
        <v>193</v>
      </c>
      <c r="E369" s="157" t="s">
        <v>3</v>
      </c>
      <c r="F369" s="158" t="s">
        <v>2413</v>
      </c>
      <c r="H369" s="157" t="s">
        <v>3</v>
      </c>
      <c r="I369" s="159"/>
      <c r="L369" s="156"/>
      <c r="M369" s="160"/>
      <c r="T369" s="161"/>
      <c r="AT369" s="157" t="s">
        <v>193</v>
      </c>
      <c r="AU369" s="157" t="s">
        <v>87</v>
      </c>
      <c r="AV369" s="13" t="s">
        <v>85</v>
      </c>
      <c r="AW369" s="13" t="s">
        <v>36</v>
      </c>
      <c r="AX369" s="13" t="s">
        <v>77</v>
      </c>
      <c r="AY369" s="157" t="s">
        <v>177</v>
      </c>
    </row>
    <row r="370" spans="2:51" s="12" customFormat="1" ht="11.25">
      <c r="B370" s="149"/>
      <c r="D370" s="142" t="s">
        <v>193</v>
      </c>
      <c r="E370" s="150" t="s">
        <v>3</v>
      </c>
      <c r="F370" s="151" t="s">
        <v>2568</v>
      </c>
      <c r="H370" s="152">
        <v>14.7</v>
      </c>
      <c r="I370" s="153"/>
      <c r="L370" s="149"/>
      <c r="M370" s="154"/>
      <c r="T370" s="155"/>
      <c r="AT370" s="150" t="s">
        <v>193</v>
      </c>
      <c r="AU370" s="150" t="s">
        <v>87</v>
      </c>
      <c r="AV370" s="12" t="s">
        <v>87</v>
      </c>
      <c r="AW370" s="12" t="s">
        <v>36</v>
      </c>
      <c r="AX370" s="12" t="s">
        <v>77</v>
      </c>
      <c r="AY370" s="150" t="s">
        <v>177</v>
      </c>
    </row>
    <row r="371" spans="2:51" s="13" customFormat="1" ht="11.25">
      <c r="B371" s="156"/>
      <c r="D371" s="142" t="s">
        <v>193</v>
      </c>
      <c r="E371" s="157" t="s">
        <v>3</v>
      </c>
      <c r="F371" s="158" t="s">
        <v>573</v>
      </c>
      <c r="H371" s="157" t="s">
        <v>3</v>
      </c>
      <c r="I371" s="159"/>
      <c r="L371" s="156"/>
      <c r="M371" s="160"/>
      <c r="T371" s="161"/>
      <c r="AT371" s="157" t="s">
        <v>193</v>
      </c>
      <c r="AU371" s="157" t="s">
        <v>87</v>
      </c>
      <c r="AV371" s="13" t="s">
        <v>85</v>
      </c>
      <c r="AW371" s="13" t="s">
        <v>36</v>
      </c>
      <c r="AX371" s="13" t="s">
        <v>77</v>
      </c>
      <c r="AY371" s="157" t="s">
        <v>177</v>
      </c>
    </row>
    <row r="372" spans="2:51" s="12" customFormat="1" ht="11.25">
      <c r="B372" s="149"/>
      <c r="D372" s="142" t="s">
        <v>193</v>
      </c>
      <c r="E372" s="150" t="s">
        <v>3</v>
      </c>
      <c r="F372" s="151" t="s">
        <v>2569</v>
      </c>
      <c r="H372" s="152">
        <v>8.4</v>
      </c>
      <c r="I372" s="153"/>
      <c r="L372" s="149"/>
      <c r="M372" s="154"/>
      <c r="T372" s="155"/>
      <c r="AT372" s="150" t="s">
        <v>193</v>
      </c>
      <c r="AU372" s="150" t="s">
        <v>87</v>
      </c>
      <c r="AV372" s="12" t="s">
        <v>87</v>
      </c>
      <c r="AW372" s="12" t="s">
        <v>36</v>
      </c>
      <c r="AX372" s="12" t="s">
        <v>77</v>
      </c>
      <c r="AY372" s="150" t="s">
        <v>177</v>
      </c>
    </row>
    <row r="373" spans="2:51" s="13" customFormat="1" ht="11.25">
      <c r="B373" s="156"/>
      <c r="D373" s="142" t="s">
        <v>193</v>
      </c>
      <c r="E373" s="157" t="s">
        <v>3</v>
      </c>
      <c r="F373" s="158" t="s">
        <v>2431</v>
      </c>
      <c r="H373" s="157" t="s">
        <v>3</v>
      </c>
      <c r="I373" s="159"/>
      <c r="L373" s="156"/>
      <c r="M373" s="160"/>
      <c r="T373" s="161"/>
      <c r="AT373" s="157" t="s">
        <v>193</v>
      </c>
      <c r="AU373" s="157" t="s">
        <v>87</v>
      </c>
      <c r="AV373" s="13" t="s">
        <v>85</v>
      </c>
      <c r="AW373" s="13" t="s">
        <v>36</v>
      </c>
      <c r="AX373" s="13" t="s">
        <v>77</v>
      </c>
      <c r="AY373" s="157" t="s">
        <v>177</v>
      </c>
    </row>
    <row r="374" spans="2:51" s="12" customFormat="1" ht="11.25">
      <c r="B374" s="149"/>
      <c r="D374" s="142" t="s">
        <v>193</v>
      </c>
      <c r="E374" s="150" t="s">
        <v>3</v>
      </c>
      <c r="F374" s="151" t="s">
        <v>2432</v>
      </c>
      <c r="H374" s="152">
        <v>11.066</v>
      </c>
      <c r="I374" s="153"/>
      <c r="L374" s="149"/>
      <c r="M374" s="154"/>
      <c r="T374" s="155"/>
      <c r="AT374" s="150" t="s">
        <v>193</v>
      </c>
      <c r="AU374" s="150" t="s">
        <v>87</v>
      </c>
      <c r="AV374" s="12" t="s">
        <v>87</v>
      </c>
      <c r="AW374" s="12" t="s">
        <v>36</v>
      </c>
      <c r="AX374" s="12" t="s">
        <v>77</v>
      </c>
      <c r="AY374" s="150" t="s">
        <v>177</v>
      </c>
    </row>
    <row r="375" spans="2:51" s="13" customFormat="1" ht="11.25">
      <c r="B375" s="156"/>
      <c r="D375" s="142" t="s">
        <v>193</v>
      </c>
      <c r="E375" s="157" t="s">
        <v>3</v>
      </c>
      <c r="F375" s="158" t="s">
        <v>2483</v>
      </c>
      <c r="H375" s="157" t="s">
        <v>3</v>
      </c>
      <c r="I375" s="159"/>
      <c r="L375" s="156"/>
      <c r="M375" s="160"/>
      <c r="T375" s="161"/>
      <c r="AT375" s="157" t="s">
        <v>193</v>
      </c>
      <c r="AU375" s="157" t="s">
        <v>87</v>
      </c>
      <c r="AV375" s="13" t="s">
        <v>85</v>
      </c>
      <c r="AW375" s="13" t="s">
        <v>36</v>
      </c>
      <c r="AX375" s="13" t="s">
        <v>77</v>
      </c>
      <c r="AY375" s="157" t="s">
        <v>177</v>
      </c>
    </row>
    <row r="376" spans="2:51" s="12" customFormat="1" ht="11.25">
      <c r="B376" s="149"/>
      <c r="D376" s="142" t="s">
        <v>193</v>
      </c>
      <c r="E376" s="150" t="s">
        <v>3</v>
      </c>
      <c r="F376" s="151" t="s">
        <v>2484</v>
      </c>
      <c r="H376" s="152">
        <v>413.331</v>
      </c>
      <c r="I376" s="153"/>
      <c r="L376" s="149"/>
      <c r="M376" s="154"/>
      <c r="T376" s="155"/>
      <c r="AT376" s="150" t="s">
        <v>193</v>
      </c>
      <c r="AU376" s="150" t="s">
        <v>87</v>
      </c>
      <c r="AV376" s="12" t="s">
        <v>87</v>
      </c>
      <c r="AW376" s="12" t="s">
        <v>36</v>
      </c>
      <c r="AX376" s="12" t="s">
        <v>77</v>
      </c>
      <c r="AY376" s="150" t="s">
        <v>177</v>
      </c>
    </row>
    <row r="377" spans="2:51" s="13" customFormat="1" ht="11.25">
      <c r="B377" s="156"/>
      <c r="D377" s="142" t="s">
        <v>193</v>
      </c>
      <c r="E377" s="157" t="s">
        <v>3</v>
      </c>
      <c r="F377" s="158" t="s">
        <v>2570</v>
      </c>
      <c r="H377" s="157" t="s">
        <v>3</v>
      </c>
      <c r="I377" s="159"/>
      <c r="L377" s="156"/>
      <c r="M377" s="160"/>
      <c r="T377" s="161"/>
      <c r="AT377" s="157" t="s">
        <v>193</v>
      </c>
      <c r="AU377" s="157" t="s">
        <v>87</v>
      </c>
      <c r="AV377" s="13" t="s">
        <v>85</v>
      </c>
      <c r="AW377" s="13" t="s">
        <v>36</v>
      </c>
      <c r="AX377" s="13" t="s">
        <v>77</v>
      </c>
      <c r="AY377" s="157" t="s">
        <v>177</v>
      </c>
    </row>
    <row r="378" spans="2:51" s="12" customFormat="1" ht="11.25">
      <c r="B378" s="149"/>
      <c r="D378" s="142" t="s">
        <v>193</v>
      </c>
      <c r="E378" s="150" t="s">
        <v>3</v>
      </c>
      <c r="F378" s="151" t="s">
        <v>2571</v>
      </c>
      <c r="H378" s="152">
        <v>59.1</v>
      </c>
      <c r="I378" s="153"/>
      <c r="L378" s="149"/>
      <c r="M378" s="154"/>
      <c r="T378" s="155"/>
      <c r="AT378" s="150" t="s">
        <v>193</v>
      </c>
      <c r="AU378" s="150" t="s">
        <v>87</v>
      </c>
      <c r="AV378" s="12" t="s">
        <v>87</v>
      </c>
      <c r="AW378" s="12" t="s">
        <v>36</v>
      </c>
      <c r="AX378" s="12" t="s">
        <v>77</v>
      </c>
      <c r="AY378" s="150" t="s">
        <v>177</v>
      </c>
    </row>
    <row r="379" spans="2:51" s="15" customFormat="1" ht="11.25">
      <c r="B379" s="169"/>
      <c r="D379" s="142" t="s">
        <v>193</v>
      </c>
      <c r="E379" s="170" t="s">
        <v>3</v>
      </c>
      <c r="F379" s="171" t="s">
        <v>201</v>
      </c>
      <c r="H379" s="172">
        <v>506.59700000000004</v>
      </c>
      <c r="I379" s="173"/>
      <c r="L379" s="169"/>
      <c r="M379" s="174"/>
      <c r="T379" s="175"/>
      <c r="AT379" s="170" t="s">
        <v>193</v>
      </c>
      <c r="AU379" s="170" t="s">
        <v>87</v>
      </c>
      <c r="AV379" s="15" t="s">
        <v>185</v>
      </c>
      <c r="AW379" s="15" t="s">
        <v>36</v>
      </c>
      <c r="AX379" s="15" t="s">
        <v>85</v>
      </c>
      <c r="AY379" s="170" t="s">
        <v>177</v>
      </c>
    </row>
    <row r="380" spans="2:65" s="1" customFormat="1" ht="24.2" customHeight="1">
      <c r="B380" s="128"/>
      <c r="C380" s="129" t="s">
        <v>1148</v>
      </c>
      <c r="D380" s="129" t="s">
        <v>180</v>
      </c>
      <c r="E380" s="130" t="s">
        <v>2572</v>
      </c>
      <c r="F380" s="131" t="s">
        <v>2573</v>
      </c>
      <c r="G380" s="132" t="s">
        <v>332</v>
      </c>
      <c r="H380" s="133">
        <v>15.1</v>
      </c>
      <c r="I380" s="134"/>
      <c r="J380" s="135">
        <f>ROUND(I380*H380,2)</f>
        <v>0</v>
      </c>
      <c r="K380" s="131" t="s">
        <v>184</v>
      </c>
      <c r="L380" s="33"/>
      <c r="M380" s="136" t="s">
        <v>3</v>
      </c>
      <c r="N380" s="137" t="s">
        <v>48</v>
      </c>
      <c r="P380" s="138">
        <f>O380*H380</f>
        <v>0</v>
      </c>
      <c r="Q380" s="138">
        <v>0.1117</v>
      </c>
      <c r="R380" s="138">
        <f>Q380*H380</f>
        <v>1.68667</v>
      </c>
      <c r="S380" s="138">
        <v>0</v>
      </c>
      <c r="T380" s="139">
        <f>S380*H380</f>
        <v>0</v>
      </c>
      <c r="AR380" s="140" t="s">
        <v>185</v>
      </c>
      <c r="AT380" s="140" t="s">
        <v>180</v>
      </c>
      <c r="AU380" s="140" t="s">
        <v>87</v>
      </c>
      <c r="AY380" s="18" t="s">
        <v>177</v>
      </c>
      <c r="BE380" s="141">
        <f>IF(N380="základní",J380,0)</f>
        <v>0</v>
      </c>
      <c r="BF380" s="141">
        <f>IF(N380="snížená",J380,0)</f>
        <v>0</v>
      </c>
      <c r="BG380" s="141">
        <f>IF(N380="zákl. přenesená",J380,0)</f>
        <v>0</v>
      </c>
      <c r="BH380" s="141">
        <f>IF(N380="sníž. přenesená",J380,0)</f>
        <v>0</v>
      </c>
      <c r="BI380" s="141">
        <f>IF(N380="nulová",J380,0)</f>
        <v>0</v>
      </c>
      <c r="BJ380" s="18" t="s">
        <v>85</v>
      </c>
      <c r="BK380" s="141">
        <f>ROUND(I380*H380,2)</f>
        <v>0</v>
      </c>
      <c r="BL380" s="18" t="s">
        <v>185</v>
      </c>
      <c r="BM380" s="140" t="s">
        <v>2574</v>
      </c>
    </row>
    <row r="381" spans="2:47" s="1" customFormat="1" ht="11.25">
      <c r="B381" s="33"/>
      <c r="D381" s="142" t="s">
        <v>187</v>
      </c>
      <c r="F381" s="143" t="s">
        <v>2575</v>
      </c>
      <c r="I381" s="144"/>
      <c r="L381" s="33"/>
      <c r="M381" s="145"/>
      <c r="T381" s="54"/>
      <c r="AT381" s="18" t="s">
        <v>187</v>
      </c>
      <c r="AU381" s="18" t="s">
        <v>87</v>
      </c>
    </row>
    <row r="382" spans="2:47" s="1" customFormat="1" ht="11.25">
      <c r="B382" s="33"/>
      <c r="D382" s="146" t="s">
        <v>189</v>
      </c>
      <c r="F382" s="147" t="s">
        <v>2576</v>
      </c>
      <c r="I382" s="144"/>
      <c r="L382" s="33"/>
      <c r="M382" s="145"/>
      <c r="T382" s="54"/>
      <c r="AT382" s="18" t="s">
        <v>189</v>
      </c>
      <c r="AU382" s="18" t="s">
        <v>87</v>
      </c>
    </row>
    <row r="383" spans="2:47" s="1" customFormat="1" ht="107.25">
      <c r="B383" s="33"/>
      <c r="D383" s="142" t="s">
        <v>191</v>
      </c>
      <c r="F383" s="148" t="s">
        <v>2577</v>
      </c>
      <c r="I383" s="144"/>
      <c r="L383" s="33"/>
      <c r="M383" s="145"/>
      <c r="T383" s="54"/>
      <c r="AT383" s="18" t="s">
        <v>191</v>
      </c>
      <c r="AU383" s="18" t="s">
        <v>87</v>
      </c>
    </row>
    <row r="384" spans="2:51" s="13" customFormat="1" ht="11.25">
      <c r="B384" s="156"/>
      <c r="D384" s="142" t="s">
        <v>193</v>
      </c>
      <c r="E384" s="157" t="s">
        <v>3</v>
      </c>
      <c r="F384" s="158" t="s">
        <v>2578</v>
      </c>
      <c r="H384" s="157" t="s">
        <v>3</v>
      </c>
      <c r="I384" s="159"/>
      <c r="L384" s="156"/>
      <c r="M384" s="160"/>
      <c r="T384" s="161"/>
      <c r="AT384" s="157" t="s">
        <v>193</v>
      </c>
      <c r="AU384" s="157" t="s">
        <v>87</v>
      </c>
      <c r="AV384" s="13" t="s">
        <v>85</v>
      </c>
      <c r="AW384" s="13" t="s">
        <v>36</v>
      </c>
      <c r="AX384" s="13" t="s">
        <v>77</v>
      </c>
      <c r="AY384" s="157" t="s">
        <v>177</v>
      </c>
    </row>
    <row r="385" spans="2:51" s="12" customFormat="1" ht="11.25">
      <c r="B385" s="149"/>
      <c r="D385" s="142" t="s">
        <v>193</v>
      </c>
      <c r="E385" s="150" t="s">
        <v>3</v>
      </c>
      <c r="F385" s="151" t="s">
        <v>2579</v>
      </c>
      <c r="H385" s="152">
        <v>15.1</v>
      </c>
      <c r="I385" s="153"/>
      <c r="L385" s="149"/>
      <c r="M385" s="154"/>
      <c r="T385" s="155"/>
      <c r="AT385" s="150" t="s">
        <v>193</v>
      </c>
      <c r="AU385" s="150" t="s">
        <v>87</v>
      </c>
      <c r="AV385" s="12" t="s">
        <v>87</v>
      </c>
      <c r="AW385" s="12" t="s">
        <v>36</v>
      </c>
      <c r="AX385" s="12" t="s">
        <v>85</v>
      </c>
      <c r="AY385" s="150" t="s">
        <v>177</v>
      </c>
    </row>
    <row r="386" spans="2:65" s="1" customFormat="1" ht="16.5" customHeight="1">
      <c r="B386" s="128"/>
      <c r="C386" s="129" t="s">
        <v>1156</v>
      </c>
      <c r="D386" s="129" t="s">
        <v>180</v>
      </c>
      <c r="E386" s="130" t="s">
        <v>2580</v>
      </c>
      <c r="F386" s="131" t="s">
        <v>2581</v>
      </c>
      <c r="G386" s="132" t="s">
        <v>332</v>
      </c>
      <c r="H386" s="133">
        <v>15.1</v>
      </c>
      <c r="I386" s="134"/>
      <c r="J386" s="135">
        <f>ROUND(I386*H386,2)</f>
        <v>0</v>
      </c>
      <c r="K386" s="131" t="s">
        <v>184</v>
      </c>
      <c r="L386" s="33"/>
      <c r="M386" s="136" t="s">
        <v>3</v>
      </c>
      <c r="N386" s="137" t="s">
        <v>48</v>
      </c>
      <c r="P386" s="138">
        <f>O386*H386</f>
        <v>0</v>
      </c>
      <c r="Q386" s="138">
        <v>0.001</v>
      </c>
      <c r="R386" s="138">
        <f>Q386*H386</f>
        <v>0.0151</v>
      </c>
      <c r="S386" s="138">
        <v>0</v>
      </c>
      <c r="T386" s="139">
        <f>S386*H386</f>
        <v>0</v>
      </c>
      <c r="AR386" s="140" t="s">
        <v>185</v>
      </c>
      <c r="AT386" s="140" t="s">
        <v>180</v>
      </c>
      <c r="AU386" s="140" t="s">
        <v>87</v>
      </c>
      <c r="AY386" s="18" t="s">
        <v>177</v>
      </c>
      <c r="BE386" s="141">
        <f>IF(N386="základní",J386,0)</f>
        <v>0</v>
      </c>
      <c r="BF386" s="141">
        <f>IF(N386="snížená",J386,0)</f>
        <v>0</v>
      </c>
      <c r="BG386" s="141">
        <f>IF(N386="zákl. přenesená",J386,0)</f>
        <v>0</v>
      </c>
      <c r="BH386" s="141">
        <f>IF(N386="sníž. přenesená",J386,0)</f>
        <v>0</v>
      </c>
      <c r="BI386" s="141">
        <f>IF(N386="nulová",J386,0)</f>
        <v>0</v>
      </c>
      <c r="BJ386" s="18" t="s">
        <v>85</v>
      </c>
      <c r="BK386" s="141">
        <f>ROUND(I386*H386,2)</f>
        <v>0</v>
      </c>
      <c r="BL386" s="18" t="s">
        <v>185</v>
      </c>
      <c r="BM386" s="140" t="s">
        <v>2582</v>
      </c>
    </row>
    <row r="387" spans="2:47" s="1" customFormat="1" ht="19.5">
      <c r="B387" s="33"/>
      <c r="D387" s="142" t="s">
        <v>187</v>
      </c>
      <c r="F387" s="143" t="s">
        <v>2583</v>
      </c>
      <c r="I387" s="144"/>
      <c r="L387" s="33"/>
      <c r="M387" s="145"/>
      <c r="T387" s="54"/>
      <c r="AT387" s="18" t="s">
        <v>187</v>
      </c>
      <c r="AU387" s="18" t="s">
        <v>87</v>
      </c>
    </row>
    <row r="388" spans="2:47" s="1" customFormat="1" ht="11.25">
      <c r="B388" s="33"/>
      <c r="D388" s="146" t="s">
        <v>189</v>
      </c>
      <c r="F388" s="147" t="s">
        <v>2584</v>
      </c>
      <c r="I388" s="144"/>
      <c r="L388" s="33"/>
      <c r="M388" s="145"/>
      <c r="T388" s="54"/>
      <c r="AT388" s="18" t="s">
        <v>189</v>
      </c>
      <c r="AU388" s="18" t="s">
        <v>87</v>
      </c>
    </row>
    <row r="389" spans="2:47" s="1" customFormat="1" ht="107.25">
      <c r="B389" s="33"/>
      <c r="D389" s="142" t="s">
        <v>191</v>
      </c>
      <c r="F389" s="148" t="s">
        <v>2577</v>
      </c>
      <c r="I389" s="144"/>
      <c r="L389" s="33"/>
      <c r="M389" s="145"/>
      <c r="T389" s="54"/>
      <c r="AT389" s="18" t="s">
        <v>191</v>
      </c>
      <c r="AU389" s="18" t="s">
        <v>87</v>
      </c>
    </row>
    <row r="390" spans="2:65" s="1" customFormat="1" ht="16.5" customHeight="1">
      <c r="B390" s="128"/>
      <c r="C390" s="129" t="s">
        <v>1164</v>
      </c>
      <c r="D390" s="129" t="s">
        <v>180</v>
      </c>
      <c r="E390" s="130" t="s">
        <v>2585</v>
      </c>
      <c r="F390" s="131" t="s">
        <v>2586</v>
      </c>
      <c r="G390" s="132" t="s">
        <v>806</v>
      </c>
      <c r="H390" s="133">
        <v>2.016</v>
      </c>
      <c r="I390" s="134"/>
      <c r="J390" s="135">
        <f>ROUND(I390*H390,2)</f>
        <v>0</v>
      </c>
      <c r="K390" s="131" t="s">
        <v>184</v>
      </c>
      <c r="L390" s="33"/>
      <c r="M390" s="136" t="s">
        <v>3</v>
      </c>
      <c r="N390" s="137" t="s">
        <v>48</v>
      </c>
      <c r="P390" s="138">
        <f>O390*H390</f>
        <v>0</v>
      </c>
      <c r="Q390" s="138">
        <v>1.837</v>
      </c>
      <c r="R390" s="138">
        <f>Q390*H390</f>
        <v>3.703392</v>
      </c>
      <c r="S390" s="138">
        <v>0</v>
      </c>
      <c r="T390" s="139">
        <f>S390*H390</f>
        <v>0</v>
      </c>
      <c r="AR390" s="140" t="s">
        <v>185</v>
      </c>
      <c r="AT390" s="140" t="s">
        <v>180</v>
      </c>
      <c r="AU390" s="140" t="s">
        <v>87</v>
      </c>
      <c r="AY390" s="18" t="s">
        <v>177</v>
      </c>
      <c r="BE390" s="141">
        <f>IF(N390="základní",J390,0)</f>
        <v>0</v>
      </c>
      <c r="BF390" s="141">
        <f>IF(N390="snížená",J390,0)</f>
        <v>0</v>
      </c>
      <c r="BG390" s="141">
        <f>IF(N390="zákl. přenesená",J390,0)</f>
        <v>0</v>
      </c>
      <c r="BH390" s="141">
        <f>IF(N390="sníž. přenesená",J390,0)</f>
        <v>0</v>
      </c>
      <c r="BI390" s="141">
        <f>IF(N390="nulová",J390,0)</f>
        <v>0</v>
      </c>
      <c r="BJ390" s="18" t="s">
        <v>85</v>
      </c>
      <c r="BK390" s="141">
        <f>ROUND(I390*H390,2)</f>
        <v>0</v>
      </c>
      <c r="BL390" s="18" t="s">
        <v>185</v>
      </c>
      <c r="BM390" s="140" t="s">
        <v>2587</v>
      </c>
    </row>
    <row r="391" spans="2:47" s="1" customFormat="1" ht="19.5">
      <c r="B391" s="33"/>
      <c r="D391" s="142" t="s">
        <v>187</v>
      </c>
      <c r="F391" s="143" t="s">
        <v>2588</v>
      </c>
      <c r="I391" s="144"/>
      <c r="L391" s="33"/>
      <c r="M391" s="145"/>
      <c r="T391" s="54"/>
      <c r="AT391" s="18" t="s">
        <v>187</v>
      </c>
      <c r="AU391" s="18" t="s">
        <v>87</v>
      </c>
    </row>
    <row r="392" spans="2:47" s="1" customFormat="1" ht="11.25">
      <c r="B392" s="33"/>
      <c r="D392" s="146" t="s">
        <v>189</v>
      </c>
      <c r="F392" s="147" t="s">
        <v>2589</v>
      </c>
      <c r="I392" s="144"/>
      <c r="L392" s="33"/>
      <c r="M392" s="145"/>
      <c r="T392" s="54"/>
      <c r="AT392" s="18" t="s">
        <v>189</v>
      </c>
      <c r="AU392" s="18" t="s">
        <v>87</v>
      </c>
    </row>
    <row r="393" spans="2:47" s="1" customFormat="1" ht="39">
      <c r="B393" s="33"/>
      <c r="D393" s="142" t="s">
        <v>191</v>
      </c>
      <c r="F393" s="148" t="s">
        <v>2590</v>
      </c>
      <c r="I393" s="144"/>
      <c r="L393" s="33"/>
      <c r="M393" s="145"/>
      <c r="T393" s="54"/>
      <c r="AT393" s="18" t="s">
        <v>191</v>
      </c>
      <c r="AU393" s="18" t="s">
        <v>87</v>
      </c>
    </row>
    <row r="394" spans="2:51" s="13" customFormat="1" ht="11.25">
      <c r="B394" s="156"/>
      <c r="D394" s="142" t="s">
        <v>193</v>
      </c>
      <c r="E394" s="157" t="s">
        <v>3</v>
      </c>
      <c r="F394" s="158" t="s">
        <v>2325</v>
      </c>
      <c r="H394" s="157" t="s">
        <v>3</v>
      </c>
      <c r="I394" s="159"/>
      <c r="L394" s="156"/>
      <c r="M394" s="160"/>
      <c r="T394" s="161"/>
      <c r="AT394" s="157" t="s">
        <v>193</v>
      </c>
      <c r="AU394" s="157" t="s">
        <v>87</v>
      </c>
      <c r="AV394" s="13" t="s">
        <v>85</v>
      </c>
      <c r="AW394" s="13" t="s">
        <v>36</v>
      </c>
      <c r="AX394" s="13" t="s">
        <v>77</v>
      </c>
      <c r="AY394" s="157" t="s">
        <v>177</v>
      </c>
    </row>
    <row r="395" spans="2:51" s="12" customFormat="1" ht="11.25">
      <c r="B395" s="149"/>
      <c r="D395" s="142" t="s">
        <v>193</v>
      </c>
      <c r="E395" s="150" t="s">
        <v>3</v>
      </c>
      <c r="F395" s="151" t="s">
        <v>2591</v>
      </c>
      <c r="H395" s="152">
        <v>2.016</v>
      </c>
      <c r="I395" s="153"/>
      <c r="L395" s="149"/>
      <c r="M395" s="154"/>
      <c r="T395" s="155"/>
      <c r="AT395" s="150" t="s">
        <v>193</v>
      </c>
      <c r="AU395" s="150" t="s">
        <v>87</v>
      </c>
      <c r="AV395" s="12" t="s">
        <v>87</v>
      </c>
      <c r="AW395" s="12" t="s">
        <v>36</v>
      </c>
      <c r="AX395" s="12" t="s">
        <v>85</v>
      </c>
      <c r="AY395" s="150" t="s">
        <v>177</v>
      </c>
    </row>
    <row r="396" spans="2:65" s="1" customFormat="1" ht="16.5" customHeight="1">
      <c r="B396" s="128"/>
      <c r="C396" s="129" t="s">
        <v>1167</v>
      </c>
      <c r="D396" s="129" t="s">
        <v>180</v>
      </c>
      <c r="E396" s="130" t="s">
        <v>2592</v>
      </c>
      <c r="F396" s="131" t="s">
        <v>2593</v>
      </c>
      <c r="G396" s="132" t="s">
        <v>476</v>
      </c>
      <c r="H396" s="133">
        <v>7.95</v>
      </c>
      <c r="I396" s="134"/>
      <c r="J396" s="135">
        <f>ROUND(I396*H396,2)</f>
        <v>0</v>
      </c>
      <c r="K396" s="131" t="s">
        <v>3</v>
      </c>
      <c r="L396" s="33"/>
      <c r="M396" s="136" t="s">
        <v>3</v>
      </c>
      <c r="N396" s="137" t="s">
        <v>48</v>
      </c>
      <c r="P396" s="138">
        <f>O396*H396</f>
        <v>0</v>
      </c>
      <c r="Q396" s="138">
        <v>0</v>
      </c>
      <c r="R396" s="138">
        <f>Q396*H396</f>
        <v>0</v>
      </c>
      <c r="S396" s="138">
        <v>0</v>
      </c>
      <c r="T396" s="139">
        <f>S396*H396</f>
        <v>0</v>
      </c>
      <c r="AR396" s="140" t="s">
        <v>185</v>
      </c>
      <c r="AT396" s="140" t="s">
        <v>180</v>
      </c>
      <c r="AU396" s="140" t="s">
        <v>87</v>
      </c>
      <c r="AY396" s="18" t="s">
        <v>177</v>
      </c>
      <c r="BE396" s="141">
        <f>IF(N396="základní",J396,0)</f>
        <v>0</v>
      </c>
      <c r="BF396" s="141">
        <f>IF(N396="snížená",J396,0)</f>
        <v>0</v>
      </c>
      <c r="BG396" s="141">
        <f>IF(N396="zákl. přenesená",J396,0)</f>
        <v>0</v>
      </c>
      <c r="BH396" s="141">
        <f>IF(N396="sníž. přenesená",J396,0)</f>
        <v>0</v>
      </c>
      <c r="BI396" s="141">
        <f>IF(N396="nulová",J396,0)</f>
        <v>0</v>
      </c>
      <c r="BJ396" s="18" t="s">
        <v>85</v>
      </c>
      <c r="BK396" s="141">
        <f>ROUND(I396*H396,2)</f>
        <v>0</v>
      </c>
      <c r="BL396" s="18" t="s">
        <v>185</v>
      </c>
      <c r="BM396" s="140" t="s">
        <v>2594</v>
      </c>
    </row>
    <row r="397" spans="2:47" s="1" customFormat="1" ht="11.25">
      <c r="B397" s="33"/>
      <c r="D397" s="142" t="s">
        <v>187</v>
      </c>
      <c r="F397" s="143" t="s">
        <v>2593</v>
      </c>
      <c r="I397" s="144"/>
      <c r="L397" s="33"/>
      <c r="M397" s="145"/>
      <c r="T397" s="54"/>
      <c r="AT397" s="18" t="s">
        <v>187</v>
      </c>
      <c r="AU397" s="18" t="s">
        <v>87</v>
      </c>
    </row>
    <row r="398" spans="2:51" s="13" customFormat="1" ht="11.25">
      <c r="B398" s="156"/>
      <c r="D398" s="142" t="s">
        <v>193</v>
      </c>
      <c r="E398" s="157" t="s">
        <v>3</v>
      </c>
      <c r="F398" s="158" t="s">
        <v>2431</v>
      </c>
      <c r="H398" s="157" t="s">
        <v>3</v>
      </c>
      <c r="I398" s="159"/>
      <c r="L398" s="156"/>
      <c r="M398" s="160"/>
      <c r="T398" s="161"/>
      <c r="AT398" s="157" t="s">
        <v>193</v>
      </c>
      <c r="AU398" s="157" t="s">
        <v>87</v>
      </c>
      <c r="AV398" s="13" t="s">
        <v>85</v>
      </c>
      <c r="AW398" s="13" t="s">
        <v>36</v>
      </c>
      <c r="AX398" s="13" t="s">
        <v>77</v>
      </c>
      <c r="AY398" s="157" t="s">
        <v>177</v>
      </c>
    </row>
    <row r="399" spans="2:51" s="12" customFormat="1" ht="11.25">
      <c r="B399" s="149"/>
      <c r="D399" s="142" t="s">
        <v>193</v>
      </c>
      <c r="E399" s="150" t="s">
        <v>3</v>
      </c>
      <c r="F399" s="151" t="s">
        <v>2541</v>
      </c>
      <c r="H399" s="152">
        <v>7.95</v>
      </c>
      <c r="I399" s="153"/>
      <c r="L399" s="149"/>
      <c r="M399" s="154"/>
      <c r="T399" s="155"/>
      <c r="AT399" s="150" t="s">
        <v>193</v>
      </c>
      <c r="AU399" s="150" t="s">
        <v>87</v>
      </c>
      <c r="AV399" s="12" t="s">
        <v>87</v>
      </c>
      <c r="AW399" s="12" t="s">
        <v>36</v>
      </c>
      <c r="AX399" s="12" t="s">
        <v>85</v>
      </c>
      <c r="AY399" s="150" t="s">
        <v>177</v>
      </c>
    </row>
    <row r="400" spans="2:63" s="11" customFormat="1" ht="22.9" customHeight="1">
      <c r="B400" s="116"/>
      <c r="D400" s="117" t="s">
        <v>76</v>
      </c>
      <c r="E400" s="126" t="s">
        <v>252</v>
      </c>
      <c r="F400" s="126" t="s">
        <v>329</v>
      </c>
      <c r="I400" s="119"/>
      <c r="J400" s="127">
        <f>BK400</f>
        <v>0</v>
      </c>
      <c r="L400" s="116"/>
      <c r="M400" s="121"/>
      <c r="P400" s="122">
        <f>SUM(P401:P540)</f>
        <v>0</v>
      </c>
      <c r="R400" s="122">
        <f>SUM(R401:R540)</f>
        <v>0.3369005492</v>
      </c>
      <c r="T400" s="123">
        <f>SUM(T401:T540)</f>
        <v>22.824053</v>
      </c>
      <c r="AR400" s="117" t="s">
        <v>85</v>
      </c>
      <c r="AT400" s="124" t="s">
        <v>76</v>
      </c>
      <c r="AU400" s="124" t="s">
        <v>85</v>
      </c>
      <c r="AY400" s="117" t="s">
        <v>177</v>
      </c>
      <c r="BK400" s="125">
        <f>SUM(BK401:BK540)</f>
        <v>0</v>
      </c>
    </row>
    <row r="401" spans="2:65" s="1" customFormat="1" ht="33" customHeight="1">
      <c r="B401" s="128"/>
      <c r="C401" s="129" t="s">
        <v>1173</v>
      </c>
      <c r="D401" s="129" t="s">
        <v>180</v>
      </c>
      <c r="E401" s="130" t="s">
        <v>647</v>
      </c>
      <c r="F401" s="131" t="s">
        <v>648</v>
      </c>
      <c r="G401" s="132" t="s">
        <v>332</v>
      </c>
      <c r="H401" s="133">
        <v>533.5</v>
      </c>
      <c r="I401" s="134"/>
      <c r="J401" s="135">
        <f>ROUND(I401*H401,2)</f>
        <v>0</v>
      </c>
      <c r="K401" s="131" t="s">
        <v>184</v>
      </c>
      <c r="L401" s="33"/>
      <c r="M401" s="136" t="s">
        <v>3</v>
      </c>
      <c r="N401" s="137" t="s">
        <v>48</v>
      </c>
      <c r="P401" s="138">
        <f>O401*H401</f>
        <v>0</v>
      </c>
      <c r="Q401" s="138">
        <v>0</v>
      </c>
      <c r="R401" s="138">
        <f>Q401*H401</f>
        <v>0</v>
      </c>
      <c r="S401" s="138">
        <v>0</v>
      </c>
      <c r="T401" s="139">
        <f>S401*H401</f>
        <v>0</v>
      </c>
      <c r="AR401" s="140" t="s">
        <v>185</v>
      </c>
      <c r="AT401" s="140" t="s">
        <v>180</v>
      </c>
      <c r="AU401" s="140" t="s">
        <v>87</v>
      </c>
      <c r="AY401" s="18" t="s">
        <v>177</v>
      </c>
      <c r="BE401" s="141">
        <f>IF(N401="základní",J401,0)</f>
        <v>0</v>
      </c>
      <c r="BF401" s="141">
        <f>IF(N401="snížená",J401,0)</f>
        <v>0</v>
      </c>
      <c r="BG401" s="141">
        <f>IF(N401="zákl. přenesená",J401,0)</f>
        <v>0</v>
      </c>
      <c r="BH401" s="141">
        <f>IF(N401="sníž. přenesená",J401,0)</f>
        <v>0</v>
      </c>
      <c r="BI401" s="141">
        <f>IF(N401="nulová",J401,0)</f>
        <v>0</v>
      </c>
      <c r="BJ401" s="18" t="s">
        <v>85</v>
      </c>
      <c r="BK401" s="141">
        <f>ROUND(I401*H401,2)</f>
        <v>0</v>
      </c>
      <c r="BL401" s="18" t="s">
        <v>185</v>
      </c>
      <c r="BM401" s="140" t="s">
        <v>2595</v>
      </c>
    </row>
    <row r="402" spans="2:47" s="1" customFormat="1" ht="29.25">
      <c r="B402" s="33"/>
      <c r="D402" s="142" t="s">
        <v>187</v>
      </c>
      <c r="F402" s="143" t="s">
        <v>650</v>
      </c>
      <c r="I402" s="144"/>
      <c r="L402" s="33"/>
      <c r="M402" s="145"/>
      <c r="T402" s="54"/>
      <c r="AT402" s="18" t="s">
        <v>187</v>
      </c>
      <c r="AU402" s="18" t="s">
        <v>87</v>
      </c>
    </row>
    <row r="403" spans="2:47" s="1" customFormat="1" ht="11.25">
      <c r="B403" s="33"/>
      <c r="D403" s="146" t="s">
        <v>189</v>
      </c>
      <c r="F403" s="147" t="s">
        <v>651</v>
      </c>
      <c r="I403" s="144"/>
      <c r="L403" s="33"/>
      <c r="M403" s="145"/>
      <c r="T403" s="54"/>
      <c r="AT403" s="18" t="s">
        <v>189</v>
      </c>
      <c r="AU403" s="18" t="s">
        <v>87</v>
      </c>
    </row>
    <row r="404" spans="2:47" s="1" customFormat="1" ht="78">
      <c r="B404" s="33"/>
      <c r="D404" s="142" t="s">
        <v>191</v>
      </c>
      <c r="F404" s="148" t="s">
        <v>652</v>
      </c>
      <c r="I404" s="144"/>
      <c r="L404" s="33"/>
      <c r="M404" s="145"/>
      <c r="T404" s="54"/>
      <c r="AT404" s="18" t="s">
        <v>191</v>
      </c>
      <c r="AU404" s="18" t="s">
        <v>87</v>
      </c>
    </row>
    <row r="405" spans="2:51" s="12" customFormat="1" ht="11.25">
      <c r="B405" s="149"/>
      <c r="D405" s="142" t="s">
        <v>193</v>
      </c>
      <c r="E405" s="150" t="s">
        <v>3</v>
      </c>
      <c r="F405" s="151" t="s">
        <v>2596</v>
      </c>
      <c r="H405" s="152">
        <v>270</v>
      </c>
      <c r="I405" s="153"/>
      <c r="L405" s="149"/>
      <c r="M405" s="154"/>
      <c r="T405" s="155"/>
      <c r="AT405" s="150" t="s">
        <v>193</v>
      </c>
      <c r="AU405" s="150" t="s">
        <v>87</v>
      </c>
      <c r="AV405" s="12" t="s">
        <v>87</v>
      </c>
      <c r="AW405" s="12" t="s">
        <v>36</v>
      </c>
      <c r="AX405" s="12" t="s">
        <v>77</v>
      </c>
      <c r="AY405" s="150" t="s">
        <v>177</v>
      </c>
    </row>
    <row r="406" spans="2:51" s="12" customFormat="1" ht="11.25">
      <c r="B406" s="149"/>
      <c r="D406" s="142" t="s">
        <v>193</v>
      </c>
      <c r="E406" s="150" t="s">
        <v>3</v>
      </c>
      <c r="F406" s="151" t="s">
        <v>2597</v>
      </c>
      <c r="H406" s="152">
        <v>155</v>
      </c>
      <c r="I406" s="153"/>
      <c r="L406" s="149"/>
      <c r="M406" s="154"/>
      <c r="T406" s="155"/>
      <c r="AT406" s="150" t="s">
        <v>193</v>
      </c>
      <c r="AU406" s="150" t="s">
        <v>87</v>
      </c>
      <c r="AV406" s="12" t="s">
        <v>87</v>
      </c>
      <c r="AW406" s="12" t="s">
        <v>36</v>
      </c>
      <c r="AX406" s="12" t="s">
        <v>77</v>
      </c>
      <c r="AY406" s="150" t="s">
        <v>177</v>
      </c>
    </row>
    <row r="407" spans="2:51" s="12" customFormat="1" ht="11.25">
      <c r="B407" s="149"/>
      <c r="D407" s="142" t="s">
        <v>193</v>
      </c>
      <c r="E407" s="150" t="s">
        <v>3</v>
      </c>
      <c r="F407" s="151" t="s">
        <v>2598</v>
      </c>
      <c r="H407" s="152">
        <v>108.5</v>
      </c>
      <c r="I407" s="153"/>
      <c r="L407" s="149"/>
      <c r="M407" s="154"/>
      <c r="T407" s="155"/>
      <c r="AT407" s="150" t="s">
        <v>193</v>
      </c>
      <c r="AU407" s="150" t="s">
        <v>87</v>
      </c>
      <c r="AV407" s="12" t="s">
        <v>87</v>
      </c>
      <c r="AW407" s="12" t="s">
        <v>36</v>
      </c>
      <c r="AX407" s="12" t="s">
        <v>77</v>
      </c>
      <c r="AY407" s="150" t="s">
        <v>177</v>
      </c>
    </row>
    <row r="408" spans="2:51" s="15" customFormat="1" ht="11.25">
      <c r="B408" s="169"/>
      <c r="D408" s="142" t="s">
        <v>193</v>
      </c>
      <c r="E408" s="170" t="s">
        <v>3</v>
      </c>
      <c r="F408" s="171" t="s">
        <v>201</v>
      </c>
      <c r="H408" s="172">
        <v>533.5</v>
      </c>
      <c r="I408" s="173"/>
      <c r="L408" s="169"/>
      <c r="M408" s="174"/>
      <c r="T408" s="175"/>
      <c r="AT408" s="170" t="s">
        <v>193</v>
      </c>
      <c r="AU408" s="170" t="s">
        <v>87</v>
      </c>
      <c r="AV408" s="15" t="s">
        <v>185</v>
      </c>
      <c r="AW408" s="15" t="s">
        <v>36</v>
      </c>
      <c r="AX408" s="15" t="s">
        <v>85</v>
      </c>
      <c r="AY408" s="170" t="s">
        <v>177</v>
      </c>
    </row>
    <row r="409" spans="2:65" s="1" customFormat="1" ht="33" customHeight="1">
      <c r="B409" s="128"/>
      <c r="C409" s="129" t="s">
        <v>1177</v>
      </c>
      <c r="D409" s="129" t="s">
        <v>180</v>
      </c>
      <c r="E409" s="130" t="s">
        <v>653</v>
      </c>
      <c r="F409" s="131" t="s">
        <v>654</v>
      </c>
      <c r="G409" s="132" t="s">
        <v>332</v>
      </c>
      <c r="H409" s="133">
        <v>48015</v>
      </c>
      <c r="I409" s="134"/>
      <c r="J409" s="135">
        <f>ROUND(I409*H409,2)</f>
        <v>0</v>
      </c>
      <c r="K409" s="131" t="s">
        <v>184</v>
      </c>
      <c r="L409" s="33"/>
      <c r="M409" s="136" t="s">
        <v>3</v>
      </c>
      <c r="N409" s="137" t="s">
        <v>48</v>
      </c>
      <c r="P409" s="138">
        <f>O409*H409</f>
        <v>0</v>
      </c>
      <c r="Q409" s="138">
        <v>0</v>
      </c>
      <c r="R409" s="138">
        <f>Q409*H409</f>
        <v>0</v>
      </c>
      <c r="S409" s="138">
        <v>0</v>
      </c>
      <c r="T409" s="139">
        <f>S409*H409</f>
        <v>0</v>
      </c>
      <c r="AR409" s="140" t="s">
        <v>185</v>
      </c>
      <c r="AT409" s="140" t="s">
        <v>180</v>
      </c>
      <c r="AU409" s="140" t="s">
        <v>87</v>
      </c>
      <c r="AY409" s="18" t="s">
        <v>177</v>
      </c>
      <c r="BE409" s="141">
        <f>IF(N409="základní",J409,0)</f>
        <v>0</v>
      </c>
      <c r="BF409" s="141">
        <f>IF(N409="snížená",J409,0)</f>
        <v>0</v>
      </c>
      <c r="BG409" s="141">
        <f>IF(N409="zákl. přenesená",J409,0)</f>
        <v>0</v>
      </c>
      <c r="BH409" s="141">
        <f>IF(N409="sníž. přenesená",J409,0)</f>
        <v>0</v>
      </c>
      <c r="BI409" s="141">
        <f>IF(N409="nulová",J409,0)</f>
        <v>0</v>
      </c>
      <c r="BJ409" s="18" t="s">
        <v>85</v>
      </c>
      <c r="BK409" s="141">
        <f>ROUND(I409*H409,2)</f>
        <v>0</v>
      </c>
      <c r="BL409" s="18" t="s">
        <v>185</v>
      </c>
      <c r="BM409" s="140" t="s">
        <v>2599</v>
      </c>
    </row>
    <row r="410" spans="2:47" s="1" customFormat="1" ht="29.25">
      <c r="B410" s="33"/>
      <c r="D410" s="142" t="s">
        <v>187</v>
      </c>
      <c r="F410" s="143" t="s">
        <v>656</v>
      </c>
      <c r="I410" s="144"/>
      <c r="L410" s="33"/>
      <c r="M410" s="145"/>
      <c r="T410" s="54"/>
      <c r="AT410" s="18" t="s">
        <v>187</v>
      </c>
      <c r="AU410" s="18" t="s">
        <v>87</v>
      </c>
    </row>
    <row r="411" spans="2:47" s="1" customFormat="1" ht="11.25">
      <c r="B411" s="33"/>
      <c r="D411" s="146" t="s">
        <v>189</v>
      </c>
      <c r="F411" s="147" t="s">
        <v>657</v>
      </c>
      <c r="I411" s="144"/>
      <c r="L411" s="33"/>
      <c r="M411" s="145"/>
      <c r="T411" s="54"/>
      <c r="AT411" s="18" t="s">
        <v>189</v>
      </c>
      <c r="AU411" s="18" t="s">
        <v>87</v>
      </c>
    </row>
    <row r="412" spans="2:47" s="1" customFormat="1" ht="78">
      <c r="B412" s="33"/>
      <c r="D412" s="142" t="s">
        <v>191</v>
      </c>
      <c r="F412" s="148" t="s">
        <v>652</v>
      </c>
      <c r="I412" s="144"/>
      <c r="L412" s="33"/>
      <c r="M412" s="145"/>
      <c r="T412" s="54"/>
      <c r="AT412" s="18" t="s">
        <v>191</v>
      </c>
      <c r="AU412" s="18" t="s">
        <v>87</v>
      </c>
    </row>
    <row r="413" spans="2:51" s="12" customFormat="1" ht="11.25">
      <c r="B413" s="149"/>
      <c r="D413" s="142" t="s">
        <v>193</v>
      </c>
      <c r="E413" s="150" t="s">
        <v>3</v>
      </c>
      <c r="F413" s="151" t="s">
        <v>2600</v>
      </c>
      <c r="H413" s="152">
        <v>48015</v>
      </c>
      <c r="I413" s="153"/>
      <c r="L413" s="149"/>
      <c r="M413" s="154"/>
      <c r="T413" s="155"/>
      <c r="AT413" s="150" t="s">
        <v>193</v>
      </c>
      <c r="AU413" s="150" t="s">
        <v>87</v>
      </c>
      <c r="AV413" s="12" t="s">
        <v>87</v>
      </c>
      <c r="AW413" s="12" t="s">
        <v>36</v>
      </c>
      <c r="AX413" s="12" t="s">
        <v>85</v>
      </c>
      <c r="AY413" s="150" t="s">
        <v>177</v>
      </c>
    </row>
    <row r="414" spans="2:65" s="1" customFormat="1" ht="33" customHeight="1">
      <c r="B414" s="128"/>
      <c r="C414" s="129" t="s">
        <v>1180</v>
      </c>
      <c r="D414" s="129" t="s">
        <v>180</v>
      </c>
      <c r="E414" s="130" t="s">
        <v>659</v>
      </c>
      <c r="F414" s="131" t="s">
        <v>660</v>
      </c>
      <c r="G414" s="132" t="s">
        <v>332</v>
      </c>
      <c r="H414" s="133">
        <v>533.5</v>
      </c>
      <c r="I414" s="134"/>
      <c r="J414" s="135">
        <f>ROUND(I414*H414,2)</f>
        <v>0</v>
      </c>
      <c r="K414" s="131" t="s">
        <v>184</v>
      </c>
      <c r="L414" s="33"/>
      <c r="M414" s="136" t="s">
        <v>3</v>
      </c>
      <c r="N414" s="137" t="s">
        <v>48</v>
      </c>
      <c r="P414" s="138">
        <f>O414*H414</f>
        <v>0</v>
      </c>
      <c r="Q414" s="138">
        <v>0</v>
      </c>
      <c r="R414" s="138">
        <f>Q414*H414</f>
        <v>0</v>
      </c>
      <c r="S414" s="138">
        <v>0</v>
      </c>
      <c r="T414" s="139">
        <f>S414*H414</f>
        <v>0</v>
      </c>
      <c r="AR414" s="140" t="s">
        <v>185</v>
      </c>
      <c r="AT414" s="140" t="s">
        <v>180</v>
      </c>
      <c r="AU414" s="140" t="s">
        <v>87</v>
      </c>
      <c r="AY414" s="18" t="s">
        <v>177</v>
      </c>
      <c r="BE414" s="141">
        <f>IF(N414="základní",J414,0)</f>
        <v>0</v>
      </c>
      <c r="BF414" s="141">
        <f>IF(N414="snížená",J414,0)</f>
        <v>0</v>
      </c>
      <c r="BG414" s="141">
        <f>IF(N414="zákl. přenesená",J414,0)</f>
        <v>0</v>
      </c>
      <c r="BH414" s="141">
        <f>IF(N414="sníž. přenesená",J414,0)</f>
        <v>0</v>
      </c>
      <c r="BI414" s="141">
        <f>IF(N414="nulová",J414,0)</f>
        <v>0</v>
      </c>
      <c r="BJ414" s="18" t="s">
        <v>85</v>
      </c>
      <c r="BK414" s="141">
        <f>ROUND(I414*H414,2)</f>
        <v>0</v>
      </c>
      <c r="BL414" s="18" t="s">
        <v>185</v>
      </c>
      <c r="BM414" s="140" t="s">
        <v>2601</v>
      </c>
    </row>
    <row r="415" spans="2:47" s="1" customFormat="1" ht="29.25">
      <c r="B415" s="33"/>
      <c r="D415" s="142" t="s">
        <v>187</v>
      </c>
      <c r="F415" s="143" t="s">
        <v>662</v>
      </c>
      <c r="I415" s="144"/>
      <c r="L415" s="33"/>
      <c r="M415" s="145"/>
      <c r="T415" s="54"/>
      <c r="AT415" s="18" t="s">
        <v>187</v>
      </c>
      <c r="AU415" s="18" t="s">
        <v>87</v>
      </c>
    </row>
    <row r="416" spans="2:47" s="1" customFormat="1" ht="11.25">
      <c r="B416" s="33"/>
      <c r="D416" s="146" t="s">
        <v>189</v>
      </c>
      <c r="F416" s="147" t="s">
        <v>663</v>
      </c>
      <c r="I416" s="144"/>
      <c r="L416" s="33"/>
      <c r="M416" s="145"/>
      <c r="T416" s="54"/>
      <c r="AT416" s="18" t="s">
        <v>189</v>
      </c>
      <c r="AU416" s="18" t="s">
        <v>87</v>
      </c>
    </row>
    <row r="417" spans="2:47" s="1" customFormat="1" ht="39">
      <c r="B417" s="33"/>
      <c r="D417" s="142" t="s">
        <v>191</v>
      </c>
      <c r="F417" s="148" t="s">
        <v>664</v>
      </c>
      <c r="I417" s="144"/>
      <c r="L417" s="33"/>
      <c r="M417" s="145"/>
      <c r="T417" s="54"/>
      <c r="AT417" s="18" t="s">
        <v>191</v>
      </c>
      <c r="AU417" s="18" t="s">
        <v>87</v>
      </c>
    </row>
    <row r="418" spans="2:65" s="1" customFormat="1" ht="16.5" customHeight="1">
      <c r="B418" s="128"/>
      <c r="C418" s="129" t="s">
        <v>1183</v>
      </c>
      <c r="D418" s="129" t="s">
        <v>180</v>
      </c>
      <c r="E418" s="130" t="s">
        <v>665</v>
      </c>
      <c r="F418" s="131" t="s">
        <v>666</v>
      </c>
      <c r="G418" s="132" t="s">
        <v>332</v>
      </c>
      <c r="H418" s="133">
        <v>533.5</v>
      </c>
      <c r="I418" s="134"/>
      <c r="J418" s="135">
        <f>ROUND(I418*H418,2)</f>
        <v>0</v>
      </c>
      <c r="K418" s="131" t="s">
        <v>184</v>
      </c>
      <c r="L418" s="33"/>
      <c r="M418" s="136" t="s">
        <v>3</v>
      </c>
      <c r="N418" s="137" t="s">
        <v>48</v>
      </c>
      <c r="P418" s="138">
        <f>O418*H418</f>
        <v>0</v>
      </c>
      <c r="Q418" s="138">
        <v>0</v>
      </c>
      <c r="R418" s="138">
        <f>Q418*H418</f>
        <v>0</v>
      </c>
      <c r="S418" s="138">
        <v>0</v>
      </c>
      <c r="T418" s="139">
        <f>S418*H418</f>
        <v>0</v>
      </c>
      <c r="AR418" s="140" t="s">
        <v>185</v>
      </c>
      <c r="AT418" s="140" t="s">
        <v>180</v>
      </c>
      <c r="AU418" s="140" t="s">
        <v>87</v>
      </c>
      <c r="AY418" s="18" t="s">
        <v>177</v>
      </c>
      <c r="BE418" s="141">
        <f>IF(N418="základní",J418,0)</f>
        <v>0</v>
      </c>
      <c r="BF418" s="141">
        <f>IF(N418="snížená",J418,0)</f>
        <v>0</v>
      </c>
      <c r="BG418" s="141">
        <f>IF(N418="zákl. přenesená",J418,0)</f>
        <v>0</v>
      </c>
      <c r="BH418" s="141">
        <f>IF(N418="sníž. přenesená",J418,0)</f>
        <v>0</v>
      </c>
      <c r="BI418" s="141">
        <f>IF(N418="nulová",J418,0)</f>
        <v>0</v>
      </c>
      <c r="BJ418" s="18" t="s">
        <v>85</v>
      </c>
      <c r="BK418" s="141">
        <f>ROUND(I418*H418,2)</f>
        <v>0</v>
      </c>
      <c r="BL418" s="18" t="s">
        <v>185</v>
      </c>
      <c r="BM418" s="140" t="s">
        <v>2602</v>
      </c>
    </row>
    <row r="419" spans="2:47" s="1" customFormat="1" ht="19.5">
      <c r="B419" s="33"/>
      <c r="D419" s="142" t="s">
        <v>187</v>
      </c>
      <c r="F419" s="143" t="s">
        <v>668</v>
      </c>
      <c r="I419" s="144"/>
      <c r="L419" s="33"/>
      <c r="M419" s="145"/>
      <c r="T419" s="54"/>
      <c r="AT419" s="18" t="s">
        <v>187</v>
      </c>
      <c r="AU419" s="18" t="s">
        <v>87</v>
      </c>
    </row>
    <row r="420" spans="2:47" s="1" customFormat="1" ht="11.25">
      <c r="B420" s="33"/>
      <c r="D420" s="146" t="s">
        <v>189</v>
      </c>
      <c r="F420" s="147" t="s">
        <v>669</v>
      </c>
      <c r="I420" s="144"/>
      <c r="L420" s="33"/>
      <c r="M420" s="145"/>
      <c r="T420" s="54"/>
      <c r="AT420" s="18" t="s">
        <v>189</v>
      </c>
      <c r="AU420" s="18" t="s">
        <v>87</v>
      </c>
    </row>
    <row r="421" spans="2:47" s="1" customFormat="1" ht="39">
      <c r="B421" s="33"/>
      <c r="D421" s="142" t="s">
        <v>191</v>
      </c>
      <c r="F421" s="148" t="s">
        <v>670</v>
      </c>
      <c r="I421" s="144"/>
      <c r="L421" s="33"/>
      <c r="M421" s="145"/>
      <c r="T421" s="54"/>
      <c r="AT421" s="18" t="s">
        <v>191</v>
      </c>
      <c r="AU421" s="18" t="s">
        <v>87</v>
      </c>
    </row>
    <row r="422" spans="2:65" s="1" customFormat="1" ht="21.75" customHeight="1">
      <c r="B422" s="128"/>
      <c r="C422" s="129" t="s">
        <v>1185</v>
      </c>
      <c r="D422" s="129" t="s">
        <v>180</v>
      </c>
      <c r="E422" s="130" t="s">
        <v>671</v>
      </c>
      <c r="F422" s="131" t="s">
        <v>672</v>
      </c>
      <c r="G422" s="132" t="s">
        <v>332</v>
      </c>
      <c r="H422" s="133">
        <v>48015</v>
      </c>
      <c r="I422" s="134"/>
      <c r="J422" s="135">
        <f>ROUND(I422*H422,2)</f>
        <v>0</v>
      </c>
      <c r="K422" s="131" t="s">
        <v>184</v>
      </c>
      <c r="L422" s="33"/>
      <c r="M422" s="136" t="s">
        <v>3</v>
      </c>
      <c r="N422" s="137" t="s">
        <v>48</v>
      </c>
      <c r="P422" s="138">
        <f>O422*H422</f>
        <v>0</v>
      </c>
      <c r="Q422" s="138">
        <v>0</v>
      </c>
      <c r="R422" s="138">
        <f>Q422*H422</f>
        <v>0</v>
      </c>
      <c r="S422" s="138">
        <v>0</v>
      </c>
      <c r="T422" s="139">
        <f>S422*H422</f>
        <v>0</v>
      </c>
      <c r="AR422" s="140" t="s">
        <v>185</v>
      </c>
      <c r="AT422" s="140" t="s">
        <v>180</v>
      </c>
      <c r="AU422" s="140" t="s">
        <v>87</v>
      </c>
      <c r="AY422" s="18" t="s">
        <v>177</v>
      </c>
      <c r="BE422" s="141">
        <f>IF(N422="základní",J422,0)</f>
        <v>0</v>
      </c>
      <c r="BF422" s="141">
        <f>IF(N422="snížená",J422,0)</f>
        <v>0</v>
      </c>
      <c r="BG422" s="141">
        <f>IF(N422="zákl. přenesená",J422,0)</f>
        <v>0</v>
      </c>
      <c r="BH422" s="141">
        <f>IF(N422="sníž. přenesená",J422,0)</f>
        <v>0</v>
      </c>
      <c r="BI422" s="141">
        <f>IF(N422="nulová",J422,0)</f>
        <v>0</v>
      </c>
      <c r="BJ422" s="18" t="s">
        <v>85</v>
      </c>
      <c r="BK422" s="141">
        <f>ROUND(I422*H422,2)</f>
        <v>0</v>
      </c>
      <c r="BL422" s="18" t="s">
        <v>185</v>
      </c>
      <c r="BM422" s="140" t="s">
        <v>2603</v>
      </c>
    </row>
    <row r="423" spans="2:47" s="1" customFormat="1" ht="19.5">
      <c r="B423" s="33"/>
      <c r="D423" s="142" t="s">
        <v>187</v>
      </c>
      <c r="F423" s="143" t="s">
        <v>674</v>
      </c>
      <c r="I423" s="144"/>
      <c r="L423" s="33"/>
      <c r="M423" s="145"/>
      <c r="T423" s="54"/>
      <c r="AT423" s="18" t="s">
        <v>187</v>
      </c>
      <c r="AU423" s="18" t="s">
        <v>87</v>
      </c>
    </row>
    <row r="424" spans="2:47" s="1" customFormat="1" ht="11.25">
      <c r="B424" s="33"/>
      <c r="D424" s="146" t="s">
        <v>189</v>
      </c>
      <c r="F424" s="147" t="s">
        <v>675</v>
      </c>
      <c r="I424" s="144"/>
      <c r="L424" s="33"/>
      <c r="M424" s="145"/>
      <c r="T424" s="54"/>
      <c r="AT424" s="18" t="s">
        <v>189</v>
      </c>
      <c r="AU424" s="18" t="s">
        <v>87</v>
      </c>
    </row>
    <row r="425" spans="2:47" s="1" customFormat="1" ht="39">
      <c r="B425" s="33"/>
      <c r="D425" s="142" t="s">
        <v>191</v>
      </c>
      <c r="F425" s="148" t="s">
        <v>670</v>
      </c>
      <c r="I425" s="144"/>
      <c r="L425" s="33"/>
      <c r="M425" s="145"/>
      <c r="T425" s="54"/>
      <c r="AT425" s="18" t="s">
        <v>191</v>
      </c>
      <c r="AU425" s="18" t="s">
        <v>87</v>
      </c>
    </row>
    <row r="426" spans="2:65" s="1" customFormat="1" ht="21.75" customHeight="1">
      <c r="B426" s="128"/>
      <c r="C426" s="129" t="s">
        <v>1188</v>
      </c>
      <c r="D426" s="129" t="s">
        <v>180</v>
      </c>
      <c r="E426" s="130" t="s">
        <v>676</v>
      </c>
      <c r="F426" s="131" t="s">
        <v>677</v>
      </c>
      <c r="G426" s="132" t="s">
        <v>332</v>
      </c>
      <c r="H426" s="133">
        <v>533.5</v>
      </c>
      <c r="I426" s="134"/>
      <c r="J426" s="135">
        <f>ROUND(I426*H426,2)</f>
        <v>0</v>
      </c>
      <c r="K426" s="131" t="s">
        <v>184</v>
      </c>
      <c r="L426" s="33"/>
      <c r="M426" s="136" t="s">
        <v>3</v>
      </c>
      <c r="N426" s="137" t="s">
        <v>48</v>
      </c>
      <c r="P426" s="138">
        <f>O426*H426</f>
        <v>0</v>
      </c>
      <c r="Q426" s="138">
        <v>0</v>
      </c>
      <c r="R426" s="138">
        <f>Q426*H426</f>
        <v>0</v>
      </c>
      <c r="S426" s="138">
        <v>0</v>
      </c>
      <c r="T426" s="139">
        <f>S426*H426</f>
        <v>0</v>
      </c>
      <c r="AR426" s="140" t="s">
        <v>185</v>
      </c>
      <c r="AT426" s="140" t="s">
        <v>180</v>
      </c>
      <c r="AU426" s="140" t="s">
        <v>87</v>
      </c>
      <c r="AY426" s="18" t="s">
        <v>177</v>
      </c>
      <c r="BE426" s="141">
        <f>IF(N426="základní",J426,0)</f>
        <v>0</v>
      </c>
      <c r="BF426" s="141">
        <f>IF(N426="snížená",J426,0)</f>
        <v>0</v>
      </c>
      <c r="BG426" s="141">
        <f>IF(N426="zákl. přenesená",J426,0)</f>
        <v>0</v>
      </c>
      <c r="BH426" s="141">
        <f>IF(N426="sníž. přenesená",J426,0)</f>
        <v>0</v>
      </c>
      <c r="BI426" s="141">
        <f>IF(N426="nulová",J426,0)</f>
        <v>0</v>
      </c>
      <c r="BJ426" s="18" t="s">
        <v>85</v>
      </c>
      <c r="BK426" s="141">
        <f>ROUND(I426*H426,2)</f>
        <v>0</v>
      </c>
      <c r="BL426" s="18" t="s">
        <v>185</v>
      </c>
      <c r="BM426" s="140" t="s">
        <v>2604</v>
      </c>
    </row>
    <row r="427" spans="2:47" s="1" customFormat="1" ht="19.5">
      <c r="B427" s="33"/>
      <c r="D427" s="142" t="s">
        <v>187</v>
      </c>
      <c r="F427" s="143" t="s">
        <v>679</v>
      </c>
      <c r="I427" s="144"/>
      <c r="L427" s="33"/>
      <c r="M427" s="145"/>
      <c r="T427" s="54"/>
      <c r="AT427" s="18" t="s">
        <v>187</v>
      </c>
      <c r="AU427" s="18" t="s">
        <v>87</v>
      </c>
    </row>
    <row r="428" spans="2:47" s="1" customFormat="1" ht="11.25">
      <c r="B428" s="33"/>
      <c r="D428" s="146" t="s">
        <v>189</v>
      </c>
      <c r="F428" s="147" t="s">
        <v>680</v>
      </c>
      <c r="I428" s="144"/>
      <c r="L428" s="33"/>
      <c r="M428" s="145"/>
      <c r="T428" s="54"/>
      <c r="AT428" s="18" t="s">
        <v>189</v>
      </c>
      <c r="AU428" s="18" t="s">
        <v>87</v>
      </c>
    </row>
    <row r="429" spans="2:65" s="1" customFormat="1" ht="33" customHeight="1">
      <c r="B429" s="128"/>
      <c r="C429" s="129" t="s">
        <v>1190</v>
      </c>
      <c r="D429" s="129" t="s">
        <v>180</v>
      </c>
      <c r="E429" s="130" t="s">
        <v>681</v>
      </c>
      <c r="F429" s="131" t="s">
        <v>682</v>
      </c>
      <c r="G429" s="132" t="s">
        <v>332</v>
      </c>
      <c r="H429" s="133">
        <v>150</v>
      </c>
      <c r="I429" s="134"/>
      <c r="J429" s="135">
        <f>ROUND(I429*H429,2)</f>
        <v>0</v>
      </c>
      <c r="K429" s="131" t="s">
        <v>184</v>
      </c>
      <c r="L429" s="33"/>
      <c r="M429" s="136" t="s">
        <v>3</v>
      </c>
      <c r="N429" s="137" t="s">
        <v>48</v>
      </c>
      <c r="P429" s="138">
        <f>O429*H429</f>
        <v>0</v>
      </c>
      <c r="Q429" s="138">
        <v>0.00013</v>
      </c>
      <c r="R429" s="138">
        <f>Q429*H429</f>
        <v>0.0195</v>
      </c>
      <c r="S429" s="138">
        <v>0</v>
      </c>
      <c r="T429" s="139">
        <f>S429*H429</f>
        <v>0</v>
      </c>
      <c r="AR429" s="140" t="s">
        <v>185</v>
      </c>
      <c r="AT429" s="140" t="s">
        <v>180</v>
      </c>
      <c r="AU429" s="140" t="s">
        <v>87</v>
      </c>
      <c r="AY429" s="18" t="s">
        <v>177</v>
      </c>
      <c r="BE429" s="141">
        <f>IF(N429="základní",J429,0)</f>
        <v>0</v>
      </c>
      <c r="BF429" s="141">
        <f>IF(N429="snížená",J429,0)</f>
        <v>0</v>
      </c>
      <c r="BG429" s="141">
        <f>IF(N429="zákl. přenesená",J429,0)</f>
        <v>0</v>
      </c>
      <c r="BH429" s="141">
        <f>IF(N429="sníž. přenesená",J429,0)</f>
        <v>0</v>
      </c>
      <c r="BI429" s="141">
        <f>IF(N429="nulová",J429,0)</f>
        <v>0</v>
      </c>
      <c r="BJ429" s="18" t="s">
        <v>85</v>
      </c>
      <c r="BK429" s="141">
        <f>ROUND(I429*H429,2)</f>
        <v>0</v>
      </c>
      <c r="BL429" s="18" t="s">
        <v>185</v>
      </c>
      <c r="BM429" s="140" t="s">
        <v>2605</v>
      </c>
    </row>
    <row r="430" spans="2:47" s="1" customFormat="1" ht="19.5">
      <c r="B430" s="33"/>
      <c r="D430" s="142" t="s">
        <v>187</v>
      </c>
      <c r="F430" s="143" t="s">
        <v>684</v>
      </c>
      <c r="I430" s="144"/>
      <c r="L430" s="33"/>
      <c r="M430" s="145"/>
      <c r="T430" s="54"/>
      <c r="AT430" s="18" t="s">
        <v>187</v>
      </c>
      <c r="AU430" s="18" t="s">
        <v>87</v>
      </c>
    </row>
    <row r="431" spans="2:47" s="1" customFormat="1" ht="11.25">
      <c r="B431" s="33"/>
      <c r="D431" s="146" t="s">
        <v>189</v>
      </c>
      <c r="F431" s="147" t="s">
        <v>685</v>
      </c>
      <c r="I431" s="144"/>
      <c r="L431" s="33"/>
      <c r="M431" s="145"/>
      <c r="T431" s="54"/>
      <c r="AT431" s="18" t="s">
        <v>189</v>
      </c>
      <c r="AU431" s="18" t="s">
        <v>87</v>
      </c>
    </row>
    <row r="432" spans="2:47" s="1" customFormat="1" ht="78">
      <c r="B432" s="33"/>
      <c r="D432" s="142" t="s">
        <v>191</v>
      </c>
      <c r="F432" s="148" t="s">
        <v>336</v>
      </c>
      <c r="I432" s="144"/>
      <c r="L432" s="33"/>
      <c r="M432" s="145"/>
      <c r="T432" s="54"/>
      <c r="AT432" s="18" t="s">
        <v>191</v>
      </c>
      <c r="AU432" s="18" t="s">
        <v>87</v>
      </c>
    </row>
    <row r="433" spans="2:65" s="1" customFormat="1" ht="24.2" customHeight="1">
      <c r="B433" s="128"/>
      <c r="C433" s="129" t="s">
        <v>1193</v>
      </c>
      <c r="D433" s="129" t="s">
        <v>180</v>
      </c>
      <c r="E433" s="130" t="s">
        <v>339</v>
      </c>
      <c r="F433" s="131" t="s">
        <v>340</v>
      </c>
      <c r="G433" s="132" t="s">
        <v>332</v>
      </c>
      <c r="H433" s="133">
        <v>110</v>
      </c>
      <c r="I433" s="134"/>
      <c r="J433" s="135">
        <f>ROUND(I433*H433,2)</f>
        <v>0</v>
      </c>
      <c r="K433" s="131" t="s">
        <v>184</v>
      </c>
      <c r="L433" s="33"/>
      <c r="M433" s="136" t="s">
        <v>3</v>
      </c>
      <c r="N433" s="137" t="s">
        <v>48</v>
      </c>
      <c r="P433" s="138">
        <f>O433*H433</f>
        <v>0</v>
      </c>
      <c r="Q433" s="138">
        <v>3.5E-05</v>
      </c>
      <c r="R433" s="138">
        <f>Q433*H433</f>
        <v>0.0038499999999999997</v>
      </c>
      <c r="S433" s="138">
        <v>0</v>
      </c>
      <c r="T433" s="139">
        <f>S433*H433</f>
        <v>0</v>
      </c>
      <c r="AR433" s="140" t="s">
        <v>185</v>
      </c>
      <c r="AT433" s="140" t="s">
        <v>180</v>
      </c>
      <c r="AU433" s="140" t="s">
        <v>87</v>
      </c>
      <c r="AY433" s="18" t="s">
        <v>177</v>
      </c>
      <c r="BE433" s="141">
        <f>IF(N433="základní",J433,0)</f>
        <v>0</v>
      </c>
      <c r="BF433" s="141">
        <f>IF(N433="snížená",J433,0)</f>
        <v>0</v>
      </c>
      <c r="BG433" s="141">
        <f>IF(N433="zákl. přenesená",J433,0)</f>
        <v>0</v>
      </c>
      <c r="BH433" s="141">
        <f>IF(N433="sníž. přenesená",J433,0)</f>
        <v>0</v>
      </c>
      <c r="BI433" s="141">
        <f>IF(N433="nulová",J433,0)</f>
        <v>0</v>
      </c>
      <c r="BJ433" s="18" t="s">
        <v>85</v>
      </c>
      <c r="BK433" s="141">
        <f>ROUND(I433*H433,2)</f>
        <v>0</v>
      </c>
      <c r="BL433" s="18" t="s">
        <v>185</v>
      </c>
      <c r="BM433" s="140" t="s">
        <v>2606</v>
      </c>
    </row>
    <row r="434" spans="2:47" s="1" customFormat="1" ht="19.5">
      <c r="B434" s="33"/>
      <c r="D434" s="142" t="s">
        <v>187</v>
      </c>
      <c r="F434" s="143" t="s">
        <v>342</v>
      </c>
      <c r="I434" s="144"/>
      <c r="L434" s="33"/>
      <c r="M434" s="145"/>
      <c r="T434" s="54"/>
      <c r="AT434" s="18" t="s">
        <v>187</v>
      </c>
      <c r="AU434" s="18" t="s">
        <v>87</v>
      </c>
    </row>
    <row r="435" spans="2:47" s="1" customFormat="1" ht="11.25">
      <c r="B435" s="33"/>
      <c r="D435" s="146" t="s">
        <v>189</v>
      </c>
      <c r="F435" s="147" t="s">
        <v>343</v>
      </c>
      <c r="I435" s="144"/>
      <c r="L435" s="33"/>
      <c r="M435" s="145"/>
      <c r="T435" s="54"/>
      <c r="AT435" s="18" t="s">
        <v>189</v>
      </c>
      <c r="AU435" s="18" t="s">
        <v>87</v>
      </c>
    </row>
    <row r="436" spans="2:47" s="1" customFormat="1" ht="273">
      <c r="B436" s="33"/>
      <c r="D436" s="142" t="s">
        <v>191</v>
      </c>
      <c r="F436" s="148" t="s">
        <v>344</v>
      </c>
      <c r="I436" s="144"/>
      <c r="L436" s="33"/>
      <c r="M436" s="145"/>
      <c r="T436" s="54"/>
      <c r="AT436" s="18" t="s">
        <v>191</v>
      </c>
      <c r="AU436" s="18" t="s">
        <v>87</v>
      </c>
    </row>
    <row r="437" spans="2:51" s="12" customFormat="1" ht="11.25">
      <c r="B437" s="149"/>
      <c r="D437" s="142" t="s">
        <v>193</v>
      </c>
      <c r="E437" s="150" t="s">
        <v>3</v>
      </c>
      <c r="F437" s="151" t="s">
        <v>2607</v>
      </c>
      <c r="H437" s="152">
        <v>110</v>
      </c>
      <c r="I437" s="153"/>
      <c r="L437" s="149"/>
      <c r="M437" s="154"/>
      <c r="T437" s="155"/>
      <c r="AT437" s="150" t="s">
        <v>193</v>
      </c>
      <c r="AU437" s="150" t="s">
        <v>87</v>
      </c>
      <c r="AV437" s="12" t="s">
        <v>87</v>
      </c>
      <c r="AW437" s="12" t="s">
        <v>36</v>
      </c>
      <c r="AX437" s="12" t="s">
        <v>85</v>
      </c>
      <c r="AY437" s="150" t="s">
        <v>177</v>
      </c>
    </row>
    <row r="438" spans="2:65" s="1" customFormat="1" ht="24.2" customHeight="1">
      <c r="B438" s="128"/>
      <c r="C438" s="129" t="s">
        <v>1201</v>
      </c>
      <c r="D438" s="129" t="s">
        <v>180</v>
      </c>
      <c r="E438" s="130" t="s">
        <v>2608</v>
      </c>
      <c r="F438" s="131" t="s">
        <v>2609</v>
      </c>
      <c r="G438" s="132" t="s">
        <v>236</v>
      </c>
      <c r="H438" s="133">
        <v>155.2</v>
      </c>
      <c r="I438" s="134"/>
      <c r="J438" s="135">
        <f>ROUND(I438*H438,2)</f>
        <v>0</v>
      </c>
      <c r="K438" s="131" t="s">
        <v>184</v>
      </c>
      <c r="L438" s="33"/>
      <c r="M438" s="136" t="s">
        <v>3</v>
      </c>
      <c r="N438" s="137" t="s">
        <v>48</v>
      </c>
      <c r="P438" s="138">
        <f>O438*H438</f>
        <v>0</v>
      </c>
      <c r="Q438" s="138">
        <v>9.006E-06</v>
      </c>
      <c r="R438" s="138">
        <f>Q438*H438</f>
        <v>0.0013977311999999998</v>
      </c>
      <c r="S438" s="138">
        <v>0</v>
      </c>
      <c r="T438" s="139">
        <f>S438*H438</f>
        <v>0</v>
      </c>
      <c r="AR438" s="140" t="s">
        <v>185</v>
      </c>
      <c r="AT438" s="140" t="s">
        <v>180</v>
      </c>
      <c r="AU438" s="140" t="s">
        <v>87</v>
      </c>
      <c r="AY438" s="18" t="s">
        <v>177</v>
      </c>
      <c r="BE438" s="141">
        <f>IF(N438="základní",J438,0)</f>
        <v>0</v>
      </c>
      <c r="BF438" s="141">
        <f>IF(N438="snížená",J438,0)</f>
        <v>0</v>
      </c>
      <c r="BG438" s="141">
        <f>IF(N438="zákl. přenesená",J438,0)</f>
        <v>0</v>
      </c>
      <c r="BH438" s="141">
        <f>IF(N438="sníž. přenesená",J438,0)</f>
        <v>0</v>
      </c>
      <c r="BI438" s="141">
        <f>IF(N438="nulová",J438,0)</f>
        <v>0</v>
      </c>
      <c r="BJ438" s="18" t="s">
        <v>85</v>
      </c>
      <c r="BK438" s="141">
        <f>ROUND(I438*H438,2)</f>
        <v>0</v>
      </c>
      <c r="BL438" s="18" t="s">
        <v>185</v>
      </c>
      <c r="BM438" s="140" t="s">
        <v>2610</v>
      </c>
    </row>
    <row r="439" spans="2:47" s="1" customFormat="1" ht="19.5">
      <c r="B439" s="33"/>
      <c r="D439" s="142" t="s">
        <v>187</v>
      </c>
      <c r="F439" s="143" t="s">
        <v>2611</v>
      </c>
      <c r="I439" s="144"/>
      <c r="L439" s="33"/>
      <c r="M439" s="145"/>
      <c r="T439" s="54"/>
      <c r="AT439" s="18" t="s">
        <v>187</v>
      </c>
      <c r="AU439" s="18" t="s">
        <v>87</v>
      </c>
    </row>
    <row r="440" spans="2:47" s="1" customFormat="1" ht="11.25">
      <c r="B440" s="33"/>
      <c r="D440" s="146" t="s">
        <v>189</v>
      </c>
      <c r="F440" s="147" t="s">
        <v>2612</v>
      </c>
      <c r="I440" s="144"/>
      <c r="L440" s="33"/>
      <c r="M440" s="145"/>
      <c r="T440" s="54"/>
      <c r="AT440" s="18" t="s">
        <v>189</v>
      </c>
      <c r="AU440" s="18" t="s">
        <v>87</v>
      </c>
    </row>
    <row r="441" spans="2:47" s="1" customFormat="1" ht="117">
      <c r="B441" s="33"/>
      <c r="D441" s="142" t="s">
        <v>191</v>
      </c>
      <c r="F441" s="148" t="s">
        <v>2053</v>
      </c>
      <c r="I441" s="144"/>
      <c r="L441" s="33"/>
      <c r="M441" s="145"/>
      <c r="T441" s="54"/>
      <c r="AT441" s="18" t="s">
        <v>191</v>
      </c>
      <c r="AU441" s="18" t="s">
        <v>87</v>
      </c>
    </row>
    <row r="442" spans="2:51" s="13" customFormat="1" ht="11.25">
      <c r="B442" s="156"/>
      <c r="D442" s="142" t="s">
        <v>193</v>
      </c>
      <c r="E442" s="157" t="s">
        <v>3</v>
      </c>
      <c r="F442" s="158" t="s">
        <v>2613</v>
      </c>
      <c r="H442" s="157" t="s">
        <v>3</v>
      </c>
      <c r="I442" s="159"/>
      <c r="L442" s="156"/>
      <c r="M442" s="160"/>
      <c r="T442" s="161"/>
      <c r="AT442" s="157" t="s">
        <v>193</v>
      </c>
      <c r="AU442" s="157" t="s">
        <v>87</v>
      </c>
      <c r="AV442" s="13" t="s">
        <v>85</v>
      </c>
      <c r="AW442" s="13" t="s">
        <v>36</v>
      </c>
      <c r="AX442" s="13" t="s">
        <v>77</v>
      </c>
      <c r="AY442" s="157" t="s">
        <v>177</v>
      </c>
    </row>
    <row r="443" spans="2:51" s="12" customFormat="1" ht="11.25">
      <c r="B443" s="149"/>
      <c r="D443" s="142" t="s">
        <v>193</v>
      </c>
      <c r="E443" s="150" t="s">
        <v>3</v>
      </c>
      <c r="F443" s="151" t="s">
        <v>2614</v>
      </c>
      <c r="H443" s="152">
        <v>155.2</v>
      </c>
      <c r="I443" s="153"/>
      <c r="L443" s="149"/>
      <c r="M443" s="154"/>
      <c r="T443" s="155"/>
      <c r="AT443" s="150" t="s">
        <v>193</v>
      </c>
      <c r="AU443" s="150" t="s">
        <v>87</v>
      </c>
      <c r="AV443" s="12" t="s">
        <v>87</v>
      </c>
      <c r="AW443" s="12" t="s">
        <v>36</v>
      </c>
      <c r="AX443" s="12" t="s">
        <v>85</v>
      </c>
      <c r="AY443" s="150" t="s">
        <v>177</v>
      </c>
    </row>
    <row r="444" spans="2:65" s="1" customFormat="1" ht="21.75" customHeight="1">
      <c r="B444" s="128"/>
      <c r="C444" s="129" t="s">
        <v>1208</v>
      </c>
      <c r="D444" s="129" t="s">
        <v>180</v>
      </c>
      <c r="E444" s="130" t="s">
        <v>2615</v>
      </c>
      <c r="F444" s="131" t="s">
        <v>2616</v>
      </c>
      <c r="G444" s="132" t="s">
        <v>236</v>
      </c>
      <c r="H444" s="133">
        <v>155.2</v>
      </c>
      <c r="I444" s="134"/>
      <c r="J444" s="135">
        <f>ROUND(I444*H444,2)</f>
        <v>0</v>
      </c>
      <c r="K444" s="131" t="s">
        <v>184</v>
      </c>
      <c r="L444" s="33"/>
      <c r="M444" s="136" t="s">
        <v>3</v>
      </c>
      <c r="N444" s="137" t="s">
        <v>48</v>
      </c>
      <c r="P444" s="138">
        <f>O444*H444</f>
        <v>0</v>
      </c>
      <c r="Q444" s="138">
        <v>0.0001</v>
      </c>
      <c r="R444" s="138">
        <f>Q444*H444</f>
        <v>0.015519999999999999</v>
      </c>
      <c r="S444" s="138">
        <v>0</v>
      </c>
      <c r="T444" s="139">
        <f>S444*H444</f>
        <v>0</v>
      </c>
      <c r="AR444" s="140" t="s">
        <v>185</v>
      </c>
      <c r="AT444" s="140" t="s">
        <v>180</v>
      </c>
      <c r="AU444" s="140" t="s">
        <v>87</v>
      </c>
      <c r="AY444" s="18" t="s">
        <v>177</v>
      </c>
      <c r="BE444" s="141">
        <f>IF(N444="základní",J444,0)</f>
        <v>0</v>
      </c>
      <c r="BF444" s="141">
        <f>IF(N444="snížená",J444,0)</f>
        <v>0</v>
      </c>
      <c r="BG444" s="141">
        <f>IF(N444="zákl. přenesená",J444,0)</f>
        <v>0</v>
      </c>
      <c r="BH444" s="141">
        <f>IF(N444="sníž. přenesená",J444,0)</f>
        <v>0</v>
      </c>
      <c r="BI444" s="141">
        <f>IF(N444="nulová",J444,0)</f>
        <v>0</v>
      </c>
      <c r="BJ444" s="18" t="s">
        <v>85</v>
      </c>
      <c r="BK444" s="141">
        <f>ROUND(I444*H444,2)</f>
        <v>0</v>
      </c>
      <c r="BL444" s="18" t="s">
        <v>185</v>
      </c>
      <c r="BM444" s="140" t="s">
        <v>2617</v>
      </c>
    </row>
    <row r="445" spans="2:47" s="1" customFormat="1" ht="19.5">
      <c r="B445" s="33"/>
      <c r="D445" s="142" t="s">
        <v>187</v>
      </c>
      <c r="F445" s="143" t="s">
        <v>2618</v>
      </c>
      <c r="I445" s="144"/>
      <c r="L445" s="33"/>
      <c r="M445" s="145"/>
      <c r="T445" s="54"/>
      <c r="AT445" s="18" t="s">
        <v>187</v>
      </c>
      <c r="AU445" s="18" t="s">
        <v>87</v>
      </c>
    </row>
    <row r="446" spans="2:47" s="1" customFormat="1" ht="11.25">
      <c r="B446" s="33"/>
      <c r="D446" s="146" t="s">
        <v>189</v>
      </c>
      <c r="F446" s="147" t="s">
        <v>2619</v>
      </c>
      <c r="I446" s="144"/>
      <c r="L446" s="33"/>
      <c r="M446" s="145"/>
      <c r="T446" s="54"/>
      <c r="AT446" s="18" t="s">
        <v>189</v>
      </c>
      <c r="AU446" s="18" t="s">
        <v>87</v>
      </c>
    </row>
    <row r="447" spans="2:47" s="1" customFormat="1" ht="117">
      <c r="B447" s="33"/>
      <c r="D447" s="142" t="s">
        <v>191</v>
      </c>
      <c r="F447" s="148" t="s">
        <v>2053</v>
      </c>
      <c r="I447" s="144"/>
      <c r="L447" s="33"/>
      <c r="M447" s="145"/>
      <c r="T447" s="54"/>
      <c r="AT447" s="18" t="s">
        <v>191</v>
      </c>
      <c r="AU447" s="18" t="s">
        <v>87</v>
      </c>
    </row>
    <row r="448" spans="2:65" s="1" customFormat="1" ht="16.5" customHeight="1">
      <c r="B448" s="128"/>
      <c r="C448" s="129" t="s">
        <v>1214</v>
      </c>
      <c r="D448" s="129" t="s">
        <v>180</v>
      </c>
      <c r="E448" s="130" t="s">
        <v>2620</v>
      </c>
      <c r="F448" s="131" t="s">
        <v>2621</v>
      </c>
      <c r="G448" s="132" t="s">
        <v>806</v>
      </c>
      <c r="H448" s="133">
        <v>3.008</v>
      </c>
      <c r="I448" s="134"/>
      <c r="J448" s="135">
        <f>ROUND(I448*H448,2)</f>
        <v>0</v>
      </c>
      <c r="K448" s="131" t="s">
        <v>184</v>
      </c>
      <c r="L448" s="33"/>
      <c r="M448" s="136" t="s">
        <v>3</v>
      </c>
      <c r="N448" s="137" t="s">
        <v>48</v>
      </c>
      <c r="P448" s="138">
        <f>O448*H448</f>
        <v>0</v>
      </c>
      <c r="Q448" s="138">
        <v>0</v>
      </c>
      <c r="R448" s="138">
        <f>Q448*H448</f>
        <v>0</v>
      </c>
      <c r="S448" s="138">
        <v>2.4</v>
      </c>
      <c r="T448" s="139">
        <f>S448*H448</f>
        <v>7.2192</v>
      </c>
      <c r="AR448" s="140" t="s">
        <v>185</v>
      </c>
      <c r="AT448" s="140" t="s">
        <v>180</v>
      </c>
      <c r="AU448" s="140" t="s">
        <v>87</v>
      </c>
      <c r="AY448" s="18" t="s">
        <v>177</v>
      </c>
      <c r="BE448" s="141">
        <f>IF(N448="základní",J448,0)</f>
        <v>0</v>
      </c>
      <c r="BF448" s="141">
        <f>IF(N448="snížená",J448,0)</f>
        <v>0</v>
      </c>
      <c r="BG448" s="141">
        <f>IF(N448="zákl. přenesená",J448,0)</f>
        <v>0</v>
      </c>
      <c r="BH448" s="141">
        <f>IF(N448="sníž. přenesená",J448,0)</f>
        <v>0</v>
      </c>
      <c r="BI448" s="141">
        <f>IF(N448="nulová",J448,0)</f>
        <v>0</v>
      </c>
      <c r="BJ448" s="18" t="s">
        <v>85</v>
      </c>
      <c r="BK448" s="141">
        <f>ROUND(I448*H448,2)</f>
        <v>0</v>
      </c>
      <c r="BL448" s="18" t="s">
        <v>185</v>
      </c>
      <c r="BM448" s="140" t="s">
        <v>2622</v>
      </c>
    </row>
    <row r="449" spans="2:47" s="1" customFormat="1" ht="11.25">
      <c r="B449" s="33"/>
      <c r="D449" s="142" t="s">
        <v>187</v>
      </c>
      <c r="F449" s="143" t="s">
        <v>2623</v>
      </c>
      <c r="I449" s="144"/>
      <c r="L449" s="33"/>
      <c r="M449" s="145"/>
      <c r="T449" s="54"/>
      <c r="AT449" s="18" t="s">
        <v>187</v>
      </c>
      <c r="AU449" s="18" t="s">
        <v>87</v>
      </c>
    </row>
    <row r="450" spans="2:47" s="1" customFormat="1" ht="11.25">
      <c r="B450" s="33"/>
      <c r="D450" s="146" t="s">
        <v>189</v>
      </c>
      <c r="F450" s="147" t="s">
        <v>2624</v>
      </c>
      <c r="I450" s="144"/>
      <c r="L450" s="33"/>
      <c r="M450" s="145"/>
      <c r="T450" s="54"/>
      <c r="AT450" s="18" t="s">
        <v>189</v>
      </c>
      <c r="AU450" s="18" t="s">
        <v>87</v>
      </c>
    </row>
    <row r="451" spans="2:51" s="13" customFormat="1" ht="11.25">
      <c r="B451" s="156"/>
      <c r="D451" s="142" t="s">
        <v>193</v>
      </c>
      <c r="E451" s="157" t="s">
        <v>3</v>
      </c>
      <c r="F451" s="158" t="s">
        <v>2625</v>
      </c>
      <c r="H451" s="157" t="s">
        <v>3</v>
      </c>
      <c r="I451" s="159"/>
      <c r="L451" s="156"/>
      <c r="M451" s="160"/>
      <c r="T451" s="161"/>
      <c r="AT451" s="157" t="s">
        <v>193</v>
      </c>
      <c r="AU451" s="157" t="s">
        <v>87</v>
      </c>
      <c r="AV451" s="13" t="s">
        <v>85</v>
      </c>
      <c r="AW451" s="13" t="s">
        <v>36</v>
      </c>
      <c r="AX451" s="13" t="s">
        <v>77</v>
      </c>
      <c r="AY451" s="157" t="s">
        <v>177</v>
      </c>
    </row>
    <row r="452" spans="2:51" s="12" customFormat="1" ht="11.25">
      <c r="B452" s="149"/>
      <c r="D452" s="142" t="s">
        <v>193</v>
      </c>
      <c r="E452" s="150" t="s">
        <v>3</v>
      </c>
      <c r="F452" s="151" t="s">
        <v>2626</v>
      </c>
      <c r="H452" s="152">
        <v>0.99</v>
      </c>
      <c r="I452" s="153"/>
      <c r="L452" s="149"/>
      <c r="M452" s="154"/>
      <c r="T452" s="155"/>
      <c r="AT452" s="150" t="s">
        <v>193</v>
      </c>
      <c r="AU452" s="150" t="s">
        <v>87</v>
      </c>
      <c r="AV452" s="12" t="s">
        <v>87</v>
      </c>
      <c r="AW452" s="12" t="s">
        <v>36</v>
      </c>
      <c r="AX452" s="12" t="s">
        <v>77</v>
      </c>
      <c r="AY452" s="150" t="s">
        <v>177</v>
      </c>
    </row>
    <row r="453" spans="2:51" s="12" customFormat="1" ht="11.25">
      <c r="B453" s="149"/>
      <c r="D453" s="142" t="s">
        <v>193</v>
      </c>
      <c r="E453" s="150" t="s">
        <v>3</v>
      </c>
      <c r="F453" s="151" t="s">
        <v>2627</v>
      </c>
      <c r="H453" s="152">
        <v>0.864</v>
      </c>
      <c r="I453" s="153"/>
      <c r="L453" s="149"/>
      <c r="M453" s="154"/>
      <c r="T453" s="155"/>
      <c r="AT453" s="150" t="s">
        <v>193</v>
      </c>
      <c r="AU453" s="150" t="s">
        <v>87</v>
      </c>
      <c r="AV453" s="12" t="s">
        <v>87</v>
      </c>
      <c r="AW453" s="12" t="s">
        <v>36</v>
      </c>
      <c r="AX453" s="12" t="s">
        <v>77</v>
      </c>
      <c r="AY453" s="150" t="s">
        <v>177</v>
      </c>
    </row>
    <row r="454" spans="2:51" s="12" customFormat="1" ht="11.25">
      <c r="B454" s="149"/>
      <c r="D454" s="142" t="s">
        <v>193</v>
      </c>
      <c r="E454" s="150" t="s">
        <v>3</v>
      </c>
      <c r="F454" s="151" t="s">
        <v>2628</v>
      </c>
      <c r="H454" s="152">
        <v>1.154</v>
      </c>
      <c r="I454" s="153"/>
      <c r="L454" s="149"/>
      <c r="M454" s="154"/>
      <c r="T454" s="155"/>
      <c r="AT454" s="150" t="s">
        <v>193</v>
      </c>
      <c r="AU454" s="150" t="s">
        <v>87</v>
      </c>
      <c r="AV454" s="12" t="s">
        <v>87</v>
      </c>
      <c r="AW454" s="12" t="s">
        <v>36</v>
      </c>
      <c r="AX454" s="12" t="s">
        <v>77</v>
      </c>
      <c r="AY454" s="150" t="s">
        <v>177</v>
      </c>
    </row>
    <row r="455" spans="2:51" s="15" customFormat="1" ht="11.25">
      <c r="B455" s="169"/>
      <c r="D455" s="142" t="s">
        <v>193</v>
      </c>
      <c r="E455" s="170" t="s">
        <v>3</v>
      </c>
      <c r="F455" s="171" t="s">
        <v>201</v>
      </c>
      <c r="H455" s="172">
        <v>3.008</v>
      </c>
      <c r="I455" s="173"/>
      <c r="L455" s="169"/>
      <c r="M455" s="174"/>
      <c r="T455" s="175"/>
      <c r="AT455" s="170" t="s">
        <v>193</v>
      </c>
      <c r="AU455" s="170" t="s">
        <v>87</v>
      </c>
      <c r="AV455" s="15" t="s">
        <v>185</v>
      </c>
      <c r="AW455" s="15" t="s">
        <v>36</v>
      </c>
      <c r="AX455" s="15" t="s">
        <v>85</v>
      </c>
      <c r="AY455" s="170" t="s">
        <v>177</v>
      </c>
    </row>
    <row r="456" spans="2:65" s="1" customFormat="1" ht="37.9" customHeight="1">
      <c r="B456" s="128"/>
      <c r="C456" s="129" t="s">
        <v>1222</v>
      </c>
      <c r="D456" s="129" t="s">
        <v>180</v>
      </c>
      <c r="E456" s="130" t="s">
        <v>1494</v>
      </c>
      <c r="F456" s="131" t="s">
        <v>1495</v>
      </c>
      <c r="G456" s="132" t="s">
        <v>806</v>
      </c>
      <c r="H456" s="133">
        <v>3.306</v>
      </c>
      <c r="I456" s="134"/>
      <c r="J456" s="135">
        <f>ROUND(I456*H456,2)</f>
        <v>0</v>
      </c>
      <c r="K456" s="131" t="s">
        <v>184</v>
      </c>
      <c r="L456" s="33"/>
      <c r="M456" s="136" t="s">
        <v>3</v>
      </c>
      <c r="N456" s="137" t="s">
        <v>48</v>
      </c>
      <c r="P456" s="138">
        <f>O456*H456</f>
        <v>0</v>
      </c>
      <c r="Q456" s="138">
        <v>0</v>
      </c>
      <c r="R456" s="138">
        <f>Q456*H456</f>
        <v>0</v>
      </c>
      <c r="S456" s="138">
        <v>2.2</v>
      </c>
      <c r="T456" s="139">
        <f>S456*H456</f>
        <v>7.273200000000001</v>
      </c>
      <c r="AR456" s="140" t="s">
        <v>185</v>
      </c>
      <c r="AT456" s="140" t="s">
        <v>180</v>
      </c>
      <c r="AU456" s="140" t="s">
        <v>87</v>
      </c>
      <c r="AY456" s="18" t="s">
        <v>177</v>
      </c>
      <c r="BE456" s="141">
        <f>IF(N456="základní",J456,0)</f>
        <v>0</v>
      </c>
      <c r="BF456" s="141">
        <f>IF(N456="snížená",J456,0)</f>
        <v>0</v>
      </c>
      <c r="BG456" s="141">
        <f>IF(N456="zákl. přenesená",J456,0)</f>
        <v>0</v>
      </c>
      <c r="BH456" s="141">
        <f>IF(N456="sníž. přenesená",J456,0)</f>
        <v>0</v>
      </c>
      <c r="BI456" s="141">
        <f>IF(N456="nulová",J456,0)</f>
        <v>0</v>
      </c>
      <c r="BJ456" s="18" t="s">
        <v>85</v>
      </c>
      <c r="BK456" s="141">
        <f>ROUND(I456*H456,2)</f>
        <v>0</v>
      </c>
      <c r="BL456" s="18" t="s">
        <v>185</v>
      </c>
      <c r="BM456" s="140" t="s">
        <v>2629</v>
      </c>
    </row>
    <row r="457" spans="2:47" s="1" customFormat="1" ht="19.5">
      <c r="B457" s="33"/>
      <c r="D457" s="142" t="s">
        <v>187</v>
      </c>
      <c r="F457" s="143" t="s">
        <v>1497</v>
      </c>
      <c r="I457" s="144"/>
      <c r="L457" s="33"/>
      <c r="M457" s="145"/>
      <c r="T457" s="54"/>
      <c r="AT457" s="18" t="s">
        <v>187</v>
      </c>
      <c r="AU457" s="18" t="s">
        <v>87</v>
      </c>
    </row>
    <row r="458" spans="2:47" s="1" customFormat="1" ht="11.25">
      <c r="B458" s="33"/>
      <c r="D458" s="146" t="s">
        <v>189</v>
      </c>
      <c r="F458" s="147" t="s">
        <v>1498</v>
      </c>
      <c r="I458" s="144"/>
      <c r="L458" s="33"/>
      <c r="M458" s="145"/>
      <c r="T458" s="54"/>
      <c r="AT458" s="18" t="s">
        <v>189</v>
      </c>
      <c r="AU458" s="18" t="s">
        <v>87</v>
      </c>
    </row>
    <row r="459" spans="2:51" s="12" customFormat="1" ht="11.25">
      <c r="B459" s="149"/>
      <c r="D459" s="142" t="s">
        <v>193</v>
      </c>
      <c r="E459" s="150" t="s">
        <v>3</v>
      </c>
      <c r="F459" s="151" t="s">
        <v>2630</v>
      </c>
      <c r="H459" s="152">
        <v>1.35</v>
      </c>
      <c r="I459" s="153"/>
      <c r="L459" s="149"/>
      <c r="M459" s="154"/>
      <c r="T459" s="155"/>
      <c r="AT459" s="150" t="s">
        <v>193</v>
      </c>
      <c r="AU459" s="150" t="s">
        <v>87</v>
      </c>
      <c r="AV459" s="12" t="s">
        <v>87</v>
      </c>
      <c r="AW459" s="12" t="s">
        <v>36</v>
      </c>
      <c r="AX459" s="12" t="s">
        <v>77</v>
      </c>
      <c r="AY459" s="150" t="s">
        <v>177</v>
      </c>
    </row>
    <row r="460" spans="2:51" s="12" customFormat="1" ht="11.25">
      <c r="B460" s="149"/>
      <c r="D460" s="142" t="s">
        <v>193</v>
      </c>
      <c r="E460" s="150" t="s">
        <v>3</v>
      </c>
      <c r="F460" s="151" t="s">
        <v>2631</v>
      </c>
      <c r="H460" s="152">
        <v>1.956</v>
      </c>
      <c r="I460" s="153"/>
      <c r="L460" s="149"/>
      <c r="M460" s="154"/>
      <c r="T460" s="155"/>
      <c r="AT460" s="150" t="s">
        <v>193</v>
      </c>
      <c r="AU460" s="150" t="s">
        <v>87</v>
      </c>
      <c r="AV460" s="12" t="s">
        <v>87</v>
      </c>
      <c r="AW460" s="12" t="s">
        <v>36</v>
      </c>
      <c r="AX460" s="12" t="s">
        <v>77</v>
      </c>
      <c r="AY460" s="150" t="s">
        <v>177</v>
      </c>
    </row>
    <row r="461" spans="2:51" s="15" customFormat="1" ht="11.25">
      <c r="B461" s="169"/>
      <c r="D461" s="142" t="s">
        <v>193</v>
      </c>
      <c r="E461" s="170" t="s">
        <v>3</v>
      </c>
      <c r="F461" s="171" t="s">
        <v>201</v>
      </c>
      <c r="H461" s="172">
        <v>3.306</v>
      </c>
      <c r="I461" s="173"/>
      <c r="L461" s="169"/>
      <c r="M461" s="174"/>
      <c r="T461" s="175"/>
      <c r="AT461" s="170" t="s">
        <v>193</v>
      </c>
      <c r="AU461" s="170" t="s">
        <v>87</v>
      </c>
      <c r="AV461" s="15" t="s">
        <v>185</v>
      </c>
      <c r="AW461" s="15" t="s">
        <v>36</v>
      </c>
      <c r="AX461" s="15" t="s">
        <v>85</v>
      </c>
      <c r="AY461" s="170" t="s">
        <v>177</v>
      </c>
    </row>
    <row r="462" spans="2:65" s="1" customFormat="1" ht="24.2" customHeight="1">
      <c r="B462" s="128"/>
      <c r="C462" s="129" t="s">
        <v>1229</v>
      </c>
      <c r="D462" s="129" t="s">
        <v>180</v>
      </c>
      <c r="E462" s="130" t="s">
        <v>1505</v>
      </c>
      <c r="F462" s="131" t="s">
        <v>1506</v>
      </c>
      <c r="G462" s="132" t="s">
        <v>332</v>
      </c>
      <c r="H462" s="133">
        <v>24.42</v>
      </c>
      <c r="I462" s="134"/>
      <c r="J462" s="135">
        <f>ROUND(I462*H462,2)</f>
        <v>0</v>
      </c>
      <c r="K462" s="131" t="s">
        <v>184</v>
      </c>
      <c r="L462" s="33"/>
      <c r="M462" s="136" t="s">
        <v>3</v>
      </c>
      <c r="N462" s="137" t="s">
        <v>48</v>
      </c>
      <c r="P462" s="138">
        <f>O462*H462</f>
        <v>0</v>
      </c>
      <c r="Q462" s="138">
        <v>0</v>
      </c>
      <c r="R462" s="138">
        <f>Q462*H462</f>
        <v>0</v>
      </c>
      <c r="S462" s="138">
        <v>0.057</v>
      </c>
      <c r="T462" s="139">
        <f>S462*H462</f>
        <v>1.3919400000000002</v>
      </c>
      <c r="AR462" s="140" t="s">
        <v>185</v>
      </c>
      <c r="AT462" s="140" t="s">
        <v>180</v>
      </c>
      <c r="AU462" s="140" t="s">
        <v>87</v>
      </c>
      <c r="AY462" s="18" t="s">
        <v>177</v>
      </c>
      <c r="BE462" s="141">
        <f>IF(N462="základní",J462,0)</f>
        <v>0</v>
      </c>
      <c r="BF462" s="141">
        <f>IF(N462="snížená",J462,0)</f>
        <v>0</v>
      </c>
      <c r="BG462" s="141">
        <f>IF(N462="zákl. přenesená",J462,0)</f>
        <v>0</v>
      </c>
      <c r="BH462" s="141">
        <f>IF(N462="sníž. přenesená",J462,0)</f>
        <v>0</v>
      </c>
      <c r="BI462" s="141">
        <f>IF(N462="nulová",J462,0)</f>
        <v>0</v>
      </c>
      <c r="BJ462" s="18" t="s">
        <v>85</v>
      </c>
      <c r="BK462" s="141">
        <f>ROUND(I462*H462,2)</f>
        <v>0</v>
      </c>
      <c r="BL462" s="18" t="s">
        <v>185</v>
      </c>
      <c r="BM462" s="140" t="s">
        <v>2632</v>
      </c>
    </row>
    <row r="463" spans="2:47" s="1" customFormat="1" ht="29.25">
      <c r="B463" s="33"/>
      <c r="D463" s="142" t="s">
        <v>187</v>
      </c>
      <c r="F463" s="143" t="s">
        <v>1508</v>
      </c>
      <c r="I463" s="144"/>
      <c r="L463" s="33"/>
      <c r="M463" s="145"/>
      <c r="T463" s="54"/>
      <c r="AT463" s="18" t="s">
        <v>187</v>
      </c>
      <c r="AU463" s="18" t="s">
        <v>87</v>
      </c>
    </row>
    <row r="464" spans="2:47" s="1" customFormat="1" ht="11.25">
      <c r="B464" s="33"/>
      <c r="D464" s="146" t="s">
        <v>189</v>
      </c>
      <c r="F464" s="147" t="s">
        <v>1509</v>
      </c>
      <c r="I464" s="144"/>
      <c r="L464" s="33"/>
      <c r="M464" s="145"/>
      <c r="T464" s="54"/>
      <c r="AT464" s="18" t="s">
        <v>189</v>
      </c>
      <c r="AU464" s="18" t="s">
        <v>87</v>
      </c>
    </row>
    <row r="465" spans="2:47" s="1" customFormat="1" ht="29.25">
      <c r="B465" s="33"/>
      <c r="D465" s="142" t="s">
        <v>191</v>
      </c>
      <c r="F465" s="148" t="s">
        <v>1510</v>
      </c>
      <c r="I465" s="144"/>
      <c r="L465" s="33"/>
      <c r="M465" s="145"/>
      <c r="T465" s="54"/>
      <c r="AT465" s="18" t="s">
        <v>191</v>
      </c>
      <c r="AU465" s="18" t="s">
        <v>87</v>
      </c>
    </row>
    <row r="466" spans="2:51" s="13" customFormat="1" ht="11.25">
      <c r="B466" s="156"/>
      <c r="D466" s="142" t="s">
        <v>193</v>
      </c>
      <c r="E466" s="157" t="s">
        <v>3</v>
      </c>
      <c r="F466" s="158" t="s">
        <v>2325</v>
      </c>
      <c r="H466" s="157" t="s">
        <v>3</v>
      </c>
      <c r="I466" s="159"/>
      <c r="L466" s="156"/>
      <c r="M466" s="160"/>
      <c r="T466" s="161"/>
      <c r="AT466" s="157" t="s">
        <v>193</v>
      </c>
      <c r="AU466" s="157" t="s">
        <v>87</v>
      </c>
      <c r="AV466" s="13" t="s">
        <v>85</v>
      </c>
      <c r="AW466" s="13" t="s">
        <v>36</v>
      </c>
      <c r="AX466" s="13" t="s">
        <v>77</v>
      </c>
      <c r="AY466" s="157" t="s">
        <v>177</v>
      </c>
    </row>
    <row r="467" spans="2:51" s="12" customFormat="1" ht="11.25">
      <c r="B467" s="149"/>
      <c r="D467" s="142" t="s">
        <v>193</v>
      </c>
      <c r="E467" s="150" t="s">
        <v>3</v>
      </c>
      <c r="F467" s="151" t="s">
        <v>2633</v>
      </c>
      <c r="H467" s="152">
        <v>19.56</v>
      </c>
      <c r="I467" s="153"/>
      <c r="L467" s="149"/>
      <c r="M467" s="154"/>
      <c r="T467" s="155"/>
      <c r="AT467" s="150" t="s">
        <v>193</v>
      </c>
      <c r="AU467" s="150" t="s">
        <v>87</v>
      </c>
      <c r="AV467" s="12" t="s">
        <v>87</v>
      </c>
      <c r="AW467" s="12" t="s">
        <v>36</v>
      </c>
      <c r="AX467" s="12" t="s">
        <v>77</v>
      </c>
      <c r="AY467" s="150" t="s">
        <v>177</v>
      </c>
    </row>
    <row r="468" spans="2:51" s="12" customFormat="1" ht="11.25">
      <c r="B468" s="149"/>
      <c r="D468" s="142" t="s">
        <v>193</v>
      </c>
      <c r="E468" s="150" t="s">
        <v>3</v>
      </c>
      <c r="F468" s="151" t="s">
        <v>2634</v>
      </c>
      <c r="H468" s="152">
        <v>4.86</v>
      </c>
      <c r="I468" s="153"/>
      <c r="L468" s="149"/>
      <c r="M468" s="154"/>
      <c r="T468" s="155"/>
      <c r="AT468" s="150" t="s">
        <v>193</v>
      </c>
      <c r="AU468" s="150" t="s">
        <v>87</v>
      </c>
      <c r="AV468" s="12" t="s">
        <v>87</v>
      </c>
      <c r="AW468" s="12" t="s">
        <v>36</v>
      </c>
      <c r="AX468" s="12" t="s">
        <v>77</v>
      </c>
      <c r="AY468" s="150" t="s">
        <v>177</v>
      </c>
    </row>
    <row r="469" spans="2:51" s="15" customFormat="1" ht="11.25">
      <c r="B469" s="169"/>
      <c r="D469" s="142" t="s">
        <v>193</v>
      </c>
      <c r="E469" s="170" t="s">
        <v>3</v>
      </c>
      <c r="F469" s="171" t="s">
        <v>201</v>
      </c>
      <c r="H469" s="172">
        <v>24.42</v>
      </c>
      <c r="I469" s="173"/>
      <c r="L469" s="169"/>
      <c r="M469" s="174"/>
      <c r="T469" s="175"/>
      <c r="AT469" s="170" t="s">
        <v>193</v>
      </c>
      <c r="AU469" s="170" t="s">
        <v>87</v>
      </c>
      <c r="AV469" s="15" t="s">
        <v>185</v>
      </c>
      <c r="AW469" s="15" t="s">
        <v>36</v>
      </c>
      <c r="AX469" s="15" t="s">
        <v>85</v>
      </c>
      <c r="AY469" s="170" t="s">
        <v>177</v>
      </c>
    </row>
    <row r="470" spans="2:65" s="1" customFormat="1" ht="33" customHeight="1">
      <c r="B470" s="128"/>
      <c r="C470" s="129" t="s">
        <v>1233</v>
      </c>
      <c r="D470" s="129" t="s">
        <v>180</v>
      </c>
      <c r="E470" s="130" t="s">
        <v>2635</v>
      </c>
      <c r="F470" s="131" t="s">
        <v>2636</v>
      </c>
      <c r="G470" s="132" t="s">
        <v>332</v>
      </c>
      <c r="H470" s="133">
        <v>9</v>
      </c>
      <c r="I470" s="134"/>
      <c r="J470" s="135">
        <f>ROUND(I470*H470,2)</f>
        <v>0</v>
      </c>
      <c r="K470" s="131" t="s">
        <v>184</v>
      </c>
      <c r="L470" s="33"/>
      <c r="M470" s="136" t="s">
        <v>3</v>
      </c>
      <c r="N470" s="137" t="s">
        <v>48</v>
      </c>
      <c r="P470" s="138">
        <f>O470*H470</f>
        <v>0</v>
      </c>
      <c r="Q470" s="138">
        <v>0</v>
      </c>
      <c r="R470" s="138">
        <f>Q470*H470</f>
        <v>0</v>
      </c>
      <c r="S470" s="138">
        <v>0.12</v>
      </c>
      <c r="T470" s="139">
        <f>S470*H470</f>
        <v>1.08</v>
      </c>
      <c r="AR470" s="140" t="s">
        <v>185</v>
      </c>
      <c r="AT470" s="140" t="s">
        <v>180</v>
      </c>
      <c r="AU470" s="140" t="s">
        <v>87</v>
      </c>
      <c r="AY470" s="18" t="s">
        <v>177</v>
      </c>
      <c r="BE470" s="141">
        <f>IF(N470="základní",J470,0)</f>
        <v>0</v>
      </c>
      <c r="BF470" s="141">
        <f>IF(N470="snížená",J470,0)</f>
        <v>0</v>
      </c>
      <c r="BG470" s="141">
        <f>IF(N470="zákl. přenesená",J470,0)</f>
        <v>0</v>
      </c>
      <c r="BH470" s="141">
        <f>IF(N470="sníž. přenesená",J470,0)</f>
        <v>0</v>
      </c>
      <c r="BI470" s="141">
        <f>IF(N470="nulová",J470,0)</f>
        <v>0</v>
      </c>
      <c r="BJ470" s="18" t="s">
        <v>85</v>
      </c>
      <c r="BK470" s="141">
        <f>ROUND(I470*H470,2)</f>
        <v>0</v>
      </c>
      <c r="BL470" s="18" t="s">
        <v>185</v>
      </c>
      <c r="BM470" s="140" t="s">
        <v>2637</v>
      </c>
    </row>
    <row r="471" spans="2:47" s="1" customFormat="1" ht="29.25">
      <c r="B471" s="33"/>
      <c r="D471" s="142" t="s">
        <v>187</v>
      </c>
      <c r="F471" s="143" t="s">
        <v>2638</v>
      </c>
      <c r="I471" s="144"/>
      <c r="L471" s="33"/>
      <c r="M471" s="145"/>
      <c r="T471" s="54"/>
      <c r="AT471" s="18" t="s">
        <v>187</v>
      </c>
      <c r="AU471" s="18" t="s">
        <v>87</v>
      </c>
    </row>
    <row r="472" spans="2:47" s="1" customFormat="1" ht="11.25">
      <c r="B472" s="33"/>
      <c r="D472" s="146" t="s">
        <v>189</v>
      </c>
      <c r="F472" s="147" t="s">
        <v>2639</v>
      </c>
      <c r="I472" s="144"/>
      <c r="L472" s="33"/>
      <c r="M472" s="145"/>
      <c r="T472" s="54"/>
      <c r="AT472" s="18" t="s">
        <v>189</v>
      </c>
      <c r="AU472" s="18" t="s">
        <v>87</v>
      </c>
    </row>
    <row r="473" spans="2:47" s="1" customFormat="1" ht="29.25">
      <c r="B473" s="33"/>
      <c r="D473" s="142" t="s">
        <v>191</v>
      </c>
      <c r="F473" s="148" t="s">
        <v>1510</v>
      </c>
      <c r="I473" s="144"/>
      <c r="L473" s="33"/>
      <c r="M473" s="145"/>
      <c r="T473" s="54"/>
      <c r="AT473" s="18" t="s">
        <v>191</v>
      </c>
      <c r="AU473" s="18" t="s">
        <v>87</v>
      </c>
    </row>
    <row r="474" spans="2:51" s="13" customFormat="1" ht="11.25">
      <c r="B474" s="156"/>
      <c r="D474" s="142" t="s">
        <v>193</v>
      </c>
      <c r="E474" s="157" t="s">
        <v>3</v>
      </c>
      <c r="F474" s="158" t="s">
        <v>2640</v>
      </c>
      <c r="H474" s="157" t="s">
        <v>3</v>
      </c>
      <c r="I474" s="159"/>
      <c r="L474" s="156"/>
      <c r="M474" s="160"/>
      <c r="T474" s="161"/>
      <c r="AT474" s="157" t="s">
        <v>193</v>
      </c>
      <c r="AU474" s="157" t="s">
        <v>87</v>
      </c>
      <c r="AV474" s="13" t="s">
        <v>85</v>
      </c>
      <c r="AW474" s="13" t="s">
        <v>36</v>
      </c>
      <c r="AX474" s="13" t="s">
        <v>77</v>
      </c>
      <c r="AY474" s="157" t="s">
        <v>177</v>
      </c>
    </row>
    <row r="475" spans="2:51" s="12" customFormat="1" ht="11.25">
      <c r="B475" s="149"/>
      <c r="D475" s="142" t="s">
        <v>193</v>
      </c>
      <c r="E475" s="150" t="s">
        <v>3</v>
      </c>
      <c r="F475" s="151" t="s">
        <v>2641</v>
      </c>
      <c r="H475" s="152">
        <v>9</v>
      </c>
      <c r="I475" s="153"/>
      <c r="L475" s="149"/>
      <c r="M475" s="154"/>
      <c r="T475" s="155"/>
      <c r="AT475" s="150" t="s">
        <v>193</v>
      </c>
      <c r="AU475" s="150" t="s">
        <v>87</v>
      </c>
      <c r="AV475" s="12" t="s">
        <v>87</v>
      </c>
      <c r="AW475" s="12" t="s">
        <v>36</v>
      </c>
      <c r="AX475" s="12" t="s">
        <v>85</v>
      </c>
      <c r="AY475" s="150" t="s">
        <v>177</v>
      </c>
    </row>
    <row r="476" spans="2:65" s="1" customFormat="1" ht="24.2" customHeight="1">
      <c r="B476" s="128"/>
      <c r="C476" s="129" t="s">
        <v>1237</v>
      </c>
      <c r="D476" s="129" t="s">
        <v>180</v>
      </c>
      <c r="E476" s="130" t="s">
        <v>2642</v>
      </c>
      <c r="F476" s="131" t="s">
        <v>2643</v>
      </c>
      <c r="G476" s="132" t="s">
        <v>332</v>
      </c>
      <c r="H476" s="133">
        <v>322.887</v>
      </c>
      <c r="I476" s="134"/>
      <c r="J476" s="135">
        <f>ROUND(I476*H476,2)</f>
        <v>0</v>
      </c>
      <c r="K476" s="131" t="s">
        <v>184</v>
      </c>
      <c r="L476" s="33"/>
      <c r="M476" s="136" t="s">
        <v>3</v>
      </c>
      <c r="N476" s="137" t="s">
        <v>48</v>
      </c>
      <c r="P476" s="138">
        <f>O476*H476</f>
        <v>0</v>
      </c>
      <c r="Q476" s="138">
        <v>0</v>
      </c>
      <c r="R476" s="138">
        <f>Q476*H476</f>
        <v>0</v>
      </c>
      <c r="S476" s="138">
        <v>0.015</v>
      </c>
      <c r="T476" s="139">
        <f>S476*H476</f>
        <v>4.843305</v>
      </c>
      <c r="AR476" s="140" t="s">
        <v>185</v>
      </c>
      <c r="AT476" s="140" t="s">
        <v>180</v>
      </c>
      <c r="AU476" s="140" t="s">
        <v>87</v>
      </c>
      <c r="AY476" s="18" t="s">
        <v>177</v>
      </c>
      <c r="BE476" s="141">
        <f>IF(N476="základní",J476,0)</f>
        <v>0</v>
      </c>
      <c r="BF476" s="141">
        <f>IF(N476="snížená",J476,0)</f>
        <v>0</v>
      </c>
      <c r="BG476" s="141">
        <f>IF(N476="zákl. přenesená",J476,0)</f>
        <v>0</v>
      </c>
      <c r="BH476" s="141">
        <f>IF(N476="sníž. přenesená",J476,0)</f>
        <v>0</v>
      </c>
      <c r="BI476" s="141">
        <f>IF(N476="nulová",J476,0)</f>
        <v>0</v>
      </c>
      <c r="BJ476" s="18" t="s">
        <v>85</v>
      </c>
      <c r="BK476" s="141">
        <f>ROUND(I476*H476,2)</f>
        <v>0</v>
      </c>
      <c r="BL476" s="18" t="s">
        <v>185</v>
      </c>
      <c r="BM476" s="140" t="s">
        <v>2644</v>
      </c>
    </row>
    <row r="477" spans="2:47" s="1" customFormat="1" ht="29.25">
      <c r="B477" s="33"/>
      <c r="D477" s="142" t="s">
        <v>187</v>
      </c>
      <c r="F477" s="143" t="s">
        <v>2645</v>
      </c>
      <c r="I477" s="144"/>
      <c r="L477" s="33"/>
      <c r="M477" s="145"/>
      <c r="T477" s="54"/>
      <c r="AT477" s="18" t="s">
        <v>187</v>
      </c>
      <c r="AU477" s="18" t="s">
        <v>87</v>
      </c>
    </row>
    <row r="478" spans="2:47" s="1" customFormat="1" ht="11.25">
      <c r="B478" s="33"/>
      <c r="D478" s="146" t="s">
        <v>189</v>
      </c>
      <c r="F478" s="147" t="s">
        <v>2646</v>
      </c>
      <c r="I478" s="144"/>
      <c r="L478" s="33"/>
      <c r="M478" s="145"/>
      <c r="T478" s="54"/>
      <c r="AT478" s="18" t="s">
        <v>189</v>
      </c>
      <c r="AU478" s="18" t="s">
        <v>87</v>
      </c>
    </row>
    <row r="479" spans="2:51" s="13" customFormat="1" ht="11.25">
      <c r="B479" s="156"/>
      <c r="D479" s="142" t="s">
        <v>193</v>
      </c>
      <c r="E479" s="157" t="s">
        <v>3</v>
      </c>
      <c r="F479" s="158" t="s">
        <v>1006</v>
      </c>
      <c r="H479" s="157" t="s">
        <v>3</v>
      </c>
      <c r="I479" s="159"/>
      <c r="L479" s="156"/>
      <c r="M479" s="160"/>
      <c r="T479" s="161"/>
      <c r="AT479" s="157" t="s">
        <v>193</v>
      </c>
      <c r="AU479" s="157" t="s">
        <v>87</v>
      </c>
      <c r="AV479" s="13" t="s">
        <v>85</v>
      </c>
      <c r="AW479" s="13" t="s">
        <v>36</v>
      </c>
      <c r="AX479" s="13" t="s">
        <v>77</v>
      </c>
      <c r="AY479" s="157" t="s">
        <v>177</v>
      </c>
    </row>
    <row r="480" spans="2:51" s="12" customFormat="1" ht="11.25">
      <c r="B480" s="149"/>
      <c r="D480" s="142" t="s">
        <v>193</v>
      </c>
      <c r="E480" s="150" t="s">
        <v>3</v>
      </c>
      <c r="F480" s="151" t="s">
        <v>2647</v>
      </c>
      <c r="H480" s="152">
        <v>65.343</v>
      </c>
      <c r="I480" s="153"/>
      <c r="L480" s="149"/>
      <c r="M480" s="154"/>
      <c r="T480" s="155"/>
      <c r="AT480" s="150" t="s">
        <v>193</v>
      </c>
      <c r="AU480" s="150" t="s">
        <v>87</v>
      </c>
      <c r="AV480" s="12" t="s">
        <v>87</v>
      </c>
      <c r="AW480" s="12" t="s">
        <v>36</v>
      </c>
      <c r="AX480" s="12" t="s">
        <v>77</v>
      </c>
      <c r="AY480" s="150" t="s">
        <v>177</v>
      </c>
    </row>
    <row r="481" spans="2:51" s="13" customFormat="1" ht="11.25">
      <c r="B481" s="156"/>
      <c r="D481" s="142" t="s">
        <v>193</v>
      </c>
      <c r="E481" s="157" t="s">
        <v>3</v>
      </c>
      <c r="F481" s="158" t="s">
        <v>2648</v>
      </c>
      <c r="H481" s="157" t="s">
        <v>3</v>
      </c>
      <c r="I481" s="159"/>
      <c r="L481" s="156"/>
      <c r="M481" s="160"/>
      <c r="T481" s="161"/>
      <c r="AT481" s="157" t="s">
        <v>193</v>
      </c>
      <c r="AU481" s="157" t="s">
        <v>87</v>
      </c>
      <c r="AV481" s="13" t="s">
        <v>85</v>
      </c>
      <c r="AW481" s="13" t="s">
        <v>36</v>
      </c>
      <c r="AX481" s="13" t="s">
        <v>77</v>
      </c>
      <c r="AY481" s="157" t="s">
        <v>177</v>
      </c>
    </row>
    <row r="482" spans="2:51" s="12" customFormat="1" ht="11.25">
      <c r="B482" s="149"/>
      <c r="D482" s="142" t="s">
        <v>193</v>
      </c>
      <c r="E482" s="150" t="s">
        <v>3</v>
      </c>
      <c r="F482" s="151" t="s">
        <v>2649</v>
      </c>
      <c r="H482" s="152">
        <v>176.318</v>
      </c>
      <c r="I482" s="153"/>
      <c r="L482" s="149"/>
      <c r="M482" s="154"/>
      <c r="T482" s="155"/>
      <c r="AT482" s="150" t="s">
        <v>193</v>
      </c>
      <c r="AU482" s="150" t="s">
        <v>87</v>
      </c>
      <c r="AV482" s="12" t="s">
        <v>87</v>
      </c>
      <c r="AW482" s="12" t="s">
        <v>36</v>
      </c>
      <c r="AX482" s="12" t="s">
        <v>77</v>
      </c>
      <c r="AY482" s="150" t="s">
        <v>177</v>
      </c>
    </row>
    <row r="483" spans="2:51" s="12" customFormat="1" ht="11.25">
      <c r="B483" s="149"/>
      <c r="D483" s="142" t="s">
        <v>193</v>
      </c>
      <c r="E483" s="150" t="s">
        <v>3</v>
      </c>
      <c r="F483" s="151" t="s">
        <v>2650</v>
      </c>
      <c r="H483" s="152">
        <v>70.16</v>
      </c>
      <c r="I483" s="153"/>
      <c r="L483" s="149"/>
      <c r="M483" s="154"/>
      <c r="T483" s="155"/>
      <c r="AT483" s="150" t="s">
        <v>193</v>
      </c>
      <c r="AU483" s="150" t="s">
        <v>87</v>
      </c>
      <c r="AV483" s="12" t="s">
        <v>87</v>
      </c>
      <c r="AW483" s="12" t="s">
        <v>36</v>
      </c>
      <c r="AX483" s="12" t="s">
        <v>77</v>
      </c>
      <c r="AY483" s="150" t="s">
        <v>177</v>
      </c>
    </row>
    <row r="484" spans="2:51" s="13" customFormat="1" ht="11.25">
      <c r="B484" s="156"/>
      <c r="D484" s="142" t="s">
        <v>193</v>
      </c>
      <c r="E484" s="157" t="s">
        <v>3</v>
      </c>
      <c r="F484" s="158" t="s">
        <v>2431</v>
      </c>
      <c r="H484" s="157" t="s">
        <v>3</v>
      </c>
      <c r="I484" s="159"/>
      <c r="L484" s="156"/>
      <c r="M484" s="160"/>
      <c r="T484" s="161"/>
      <c r="AT484" s="157" t="s">
        <v>193</v>
      </c>
      <c r="AU484" s="157" t="s">
        <v>87</v>
      </c>
      <c r="AV484" s="13" t="s">
        <v>85</v>
      </c>
      <c r="AW484" s="13" t="s">
        <v>36</v>
      </c>
      <c r="AX484" s="13" t="s">
        <v>77</v>
      </c>
      <c r="AY484" s="157" t="s">
        <v>177</v>
      </c>
    </row>
    <row r="485" spans="2:51" s="12" customFormat="1" ht="11.25">
      <c r="B485" s="149"/>
      <c r="D485" s="142" t="s">
        <v>193</v>
      </c>
      <c r="E485" s="150" t="s">
        <v>3</v>
      </c>
      <c r="F485" s="151" t="s">
        <v>2432</v>
      </c>
      <c r="H485" s="152">
        <v>11.066</v>
      </c>
      <c r="I485" s="153"/>
      <c r="L485" s="149"/>
      <c r="M485" s="154"/>
      <c r="T485" s="155"/>
      <c r="AT485" s="150" t="s">
        <v>193</v>
      </c>
      <c r="AU485" s="150" t="s">
        <v>87</v>
      </c>
      <c r="AV485" s="12" t="s">
        <v>87</v>
      </c>
      <c r="AW485" s="12" t="s">
        <v>36</v>
      </c>
      <c r="AX485" s="12" t="s">
        <v>77</v>
      </c>
      <c r="AY485" s="150" t="s">
        <v>177</v>
      </c>
    </row>
    <row r="486" spans="2:51" s="15" customFormat="1" ht="11.25">
      <c r="B486" s="169"/>
      <c r="D486" s="142" t="s">
        <v>193</v>
      </c>
      <c r="E486" s="170" t="s">
        <v>3</v>
      </c>
      <c r="F486" s="171" t="s">
        <v>201</v>
      </c>
      <c r="H486" s="172">
        <v>322.887</v>
      </c>
      <c r="I486" s="173"/>
      <c r="L486" s="169"/>
      <c r="M486" s="174"/>
      <c r="T486" s="175"/>
      <c r="AT486" s="170" t="s">
        <v>193</v>
      </c>
      <c r="AU486" s="170" t="s">
        <v>87</v>
      </c>
      <c r="AV486" s="15" t="s">
        <v>185</v>
      </c>
      <c r="AW486" s="15" t="s">
        <v>36</v>
      </c>
      <c r="AX486" s="15" t="s">
        <v>85</v>
      </c>
      <c r="AY486" s="170" t="s">
        <v>177</v>
      </c>
    </row>
    <row r="487" spans="2:65" s="1" customFormat="1" ht="16.5" customHeight="1">
      <c r="B487" s="128"/>
      <c r="C487" s="129" t="s">
        <v>1247</v>
      </c>
      <c r="D487" s="129" t="s">
        <v>180</v>
      </c>
      <c r="E487" s="130" t="s">
        <v>2651</v>
      </c>
      <c r="F487" s="131" t="s">
        <v>2652</v>
      </c>
      <c r="G487" s="132" t="s">
        <v>476</v>
      </c>
      <c r="H487" s="133">
        <v>9.4</v>
      </c>
      <c r="I487" s="134"/>
      <c r="J487" s="135">
        <f>ROUND(I487*H487,2)</f>
        <v>0</v>
      </c>
      <c r="K487" s="131" t="s">
        <v>184</v>
      </c>
      <c r="L487" s="33"/>
      <c r="M487" s="136" t="s">
        <v>3</v>
      </c>
      <c r="N487" s="137" t="s">
        <v>48</v>
      </c>
      <c r="P487" s="138">
        <f>O487*H487</f>
        <v>0</v>
      </c>
      <c r="Q487" s="138">
        <v>0</v>
      </c>
      <c r="R487" s="138">
        <f>Q487*H487</f>
        <v>0</v>
      </c>
      <c r="S487" s="138">
        <v>0.037</v>
      </c>
      <c r="T487" s="139">
        <f>S487*H487</f>
        <v>0.3478</v>
      </c>
      <c r="AR487" s="140" t="s">
        <v>185</v>
      </c>
      <c r="AT487" s="140" t="s">
        <v>180</v>
      </c>
      <c r="AU487" s="140" t="s">
        <v>87</v>
      </c>
      <c r="AY487" s="18" t="s">
        <v>177</v>
      </c>
      <c r="BE487" s="141">
        <f>IF(N487="základní",J487,0)</f>
        <v>0</v>
      </c>
      <c r="BF487" s="141">
        <f>IF(N487="snížená",J487,0)</f>
        <v>0</v>
      </c>
      <c r="BG487" s="141">
        <f>IF(N487="zákl. přenesená",J487,0)</f>
        <v>0</v>
      </c>
      <c r="BH487" s="141">
        <f>IF(N487="sníž. přenesená",J487,0)</f>
        <v>0</v>
      </c>
      <c r="BI487" s="141">
        <f>IF(N487="nulová",J487,0)</f>
        <v>0</v>
      </c>
      <c r="BJ487" s="18" t="s">
        <v>85</v>
      </c>
      <c r="BK487" s="141">
        <f>ROUND(I487*H487,2)</f>
        <v>0</v>
      </c>
      <c r="BL487" s="18" t="s">
        <v>185</v>
      </c>
      <c r="BM487" s="140" t="s">
        <v>2653</v>
      </c>
    </row>
    <row r="488" spans="2:47" s="1" customFormat="1" ht="19.5">
      <c r="B488" s="33"/>
      <c r="D488" s="142" t="s">
        <v>187</v>
      </c>
      <c r="F488" s="143" t="s">
        <v>2654</v>
      </c>
      <c r="I488" s="144"/>
      <c r="L488" s="33"/>
      <c r="M488" s="145"/>
      <c r="T488" s="54"/>
      <c r="AT488" s="18" t="s">
        <v>187</v>
      </c>
      <c r="AU488" s="18" t="s">
        <v>87</v>
      </c>
    </row>
    <row r="489" spans="2:47" s="1" customFormat="1" ht="11.25">
      <c r="B489" s="33"/>
      <c r="D489" s="146" t="s">
        <v>189</v>
      </c>
      <c r="F489" s="147" t="s">
        <v>2655</v>
      </c>
      <c r="I489" s="144"/>
      <c r="L489" s="33"/>
      <c r="M489" s="145"/>
      <c r="T489" s="54"/>
      <c r="AT489" s="18" t="s">
        <v>189</v>
      </c>
      <c r="AU489" s="18" t="s">
        <v>87</v>
      </c>
    </row>
    <row r="490" spans="2:51" s="13" customFormat="1" ht="11.25">
      <c r="B490" s="156"/>
      <c r="D490" s="142" t="s">
        <v>193</v>
      </c>
      <c r="E490" s="157" t="s">
        <v>3</v>
      </c>
      <c r="F490" s="158" t="s">
        <v>2656</v>
      </c>
      <c r="H490" s="157" t="s">
        <v>3</v>
      </c>
      <c r="I490" s="159"/>
      <c r="L490" s="156"/>
      <c r="M490" s="160"/>
      <c r="T490" s="161"/>
      <c r="AT490" s="157" t="s">
        <v>193</v>
      </c>
      <c r="AU490" s="157" t="s">
        <v>87</v>
      </c>
      <c r="AV490" s="13" t="s">
        <v>85</v>
      </c>
      <c r="AW490" s="13" t="s">
        <v>36</v>
      </c>
      <c r="AX490" s="13" t="s">
        <v>77</v>
      </c>
      <c r="AY490" s="157" t="s">
        <v>177</v>
      </c>
    </row>
    <row r="491" spans="2:51" s="12" customFormat="1" ht="11.25">
      <c r="B491" s="149"/>
      <c r="D491" s="142" t="s">
        <v>193</v>
      </c>
      <c r="E491" s="150" t="s">
        <v>3</v>
      </c>
      <c r="F491" s="151" t="s">
        <v>2657</v>
      </c>
      <c r="H491" s="152">
        <v>9.4</v>
      </c>
      <c r="I491" s="153"/>
      <c r="L491" s="149"/>
      <c r="M491" s="154"/>
      <c r="T491" s="155"/>
      <c r="AT491" s="150" t="s">
        <v>193</v>
      </c>
      <c r="AU491" s="150" t="s">
        <v>87</v>
      </c>
      <c r="AV491" s="12" t="s">
        <v>87</v>
      </c>
      <c r="AW491" s="12" t="s">
        <v>36</v>
      </c>
      <c r="AX491" s="12" t="s">
        <v>85</v>
      </c>
      <c r="AY491" s="150" t="s">
        <v>177</v>
      </c>
    </row>
    <row r="492" spans="2:65" s="1" customFormat="1" ht="24.2" customHeight="1">
      <c r="B492" s="128"/>
      <c r="C492" s="129" t="s">
        <v>1253</v>
      </c>
      <c r="D492" s="129" t="s">
        <v>180</v>
      </c>
      <c r="E492" s="130" t="s">
        <v>1118</v>
      </c>
      <c r="F492" s="131" t="s">
        <v>1119</v>
      </c>
      <c r="G492" s="132" t="s">
        <v>332</v>
      </c>
      <c r="H492" s="133">
        <v>1.348</v>
      </c>
      <c r="I492" s="134"/>
      <c r="J492" s="135">
        <f>ROUND(I492*H492,2)</f>
        <v>0</v>
      </c>
      <c r="K492" s="131" t="s">
        <v>184</v>
      </c>
      <c r="L492" s="33"/>
      <c r="M492" s="136" t="s">
        <v>3</v>
      </c>
      <c r="N492" s="137" t="s">
        <v>48</v>
      </c>
      <c r="P492" s="138">
        <f>O492*H492</f>
        <v>0</v>
      </c>
      <c r="Q492" s="138">
        <v>0</v>
      </c>
      <c r="R492" s="138">
        <f>Q492*H492</f>
        <v>0</v>
      </c>
      <c r="S492" s="138">
        <v>0.066</v>
      </c>
      <c r="T492" s="139">
        <f>S492*H492</f>
        <v>0.088968</v>
      </c>
      <c r="AR492" s="140" t="s">
        <v>185</v>
      </c>
      <c r="AT492" s="140" t="s">
        <v>180</v>
      </c>
      <c r="AU492" s="140" t="s">
        <v>87</v>
      </c>
      <c r="AY492" s="18" t="s">
        <v>177</v>
      </c>
      <c r="BE492" s="141">
        <f>IF(N492="základní",J492,0)</f>
        <v>0</v>
      </c>
      <c r="BF492" s="141">
        <f>IF(N492="snížená",J492,0)</f>
        <v>0</v>
      </c>
      <c r="BG492" s="141">
        <f>IF(N492="zákl. přenesená",J492,0)</f>
        <v>0</v>
      </c>
      <c r="BH492" s="141">
        <f>IF(N492="sníž. přenesená",J492,0)</f>
        <v>0</v>
      </c>
      <c r="BI492" s="141">
        <f>IF(N492="nulová",J492,0)</f>
        <v>0</v>
      </c>
      <c r="BJ492" s="18" t="s">
        <v>85</v>
      </c>
      <c r="BK492" s="141">
        <f>ROUND(I492*H492,2)</f>
        <v>0</v>
      </c>
      <c r="BL492" s="18" t="s">
        <v>185</v>
      </c>
      <c r="BM492" s="140" t="s">
        <v>2658</v>
      </c>
    </row>
    <row r="493" spans="2:47" s="1" customFormat="1" ht="19.5">
      <c r="B493" s="33"/>
      <c r="D493" s="142" t="s">
        <v>187</v>
      </c>
      <c r="F493" s="143" t="s">
        <v>1121</v>
      </c>
      <c r="I493" s="144"/>
      <c r="L493" s="33"/>
      <c r="M493" s="145"/>
      <c r="T493" s="54"/>
      <c r="AT493" s="18" t="s">
        <v>187</v>
      </c>
      <c r="AU493" s="18" t="s">
        <v>87</v>
      </c>
    </row>
    <row r="494" spans="2:47" s="1" customFormat="1" ht="11.25">
      <c r="B494" s="33"/>
      <c r="D494" s="146" t="s">
        <v>189</v>
      </c>
      <c r="F494" s="147" t="s">
        <v>1122</v>
      </c>
      <c r="I494" s="144"/>
      <c r="L494" s="33"/>
      <c r="M494" s="145"/>
      <c r="T494" s="54"/>
      <c r="AT494" s="18" t="s">
        <v>189</v>
      </c>
      <c r="AU494" s="18" t="s">
        <v>87</v>
      </c>
    </row>
    <row r="495" spans="2:47" s="1" customFormat="1" ht="48.75">
      <c r="B495" s="33"/>
      <c r="D495" s="142" t="s">
        <v>191</v>
      </c>
      <c r="F495" s="148" t="s">
        <v>350</v>
      </c>
      <c r="I495" s="144"/>
      <c r="L495" s="33"/>
      <c r="M495" s="145"/>
      <c r="T495" s="54"/>
      <c r="AT495" s="18" t="s">
        <v>191</v>
      </c>
      <c r="AU495" s="18" t="s">
        <v>87</v>
      </c>
    </row>
    <row r="496" spans="2:65" s="1" customFormat="1" ht="24.2" customHeight="1">
      <c r="B496" s="128"/>
      <c r="C496" s="129" t="s">
        <v>1259</v>
      </c>
      <c r="D496" s="129" t="s">
        <v>180</v>
      </c>
      <c r="E496" s="130" t="s">
        <v>1125</v>
      </c>
      <c r="F496" s="131" t="s">
        <v>1126</v>
      </c>
      <c r="G496" s="132" t="s">
        <v>332</v>
      </c>
      <c r="H496" s="133">
        <v>2.696</v>
      </c>
      <c r="I496" s="134"/>
      <c r="J496" s="135">
        <f>ROUND(I496*H496,2)</f>
        <v>0</v>
      </c>
      <c r="K496" s="131" t="s">
        <v>184</v>
      </c>
      <c r="L496" s="33"/>
      <c r="M496" s="136" t="s">
        <v>3</v>
      </c>
      <c r="N496" s="137" t="s">
        <v>48</v>
      </c>
      <c r="P496" s="138">
        <f>O496*H496</f>
        <v>0</v>
      </c>
      <c r="Q496" s="138">
        <v>0</v>
      </c>
      <c r="R496" s="138">
        <f>Q496*H496</f>
        <v>0</v>
      </c>
      <c r="S496" s="138">
        <v>0.11</v>
      </c>
      <c r="T496" s="139">
        <f>S496*H496</f>
        <v>0.29656000000000005</v>
      </c>
      <c r="AR496" s="140" t="s">
        <v>185</v>
      </c>
      <c r="AT496" s="140" t="s">
        <v>180</v>
      </c>
      <c r="AU496" s="140" t="s">
        <v>87</v>
      </c>
      <c r="AY496" s="18" t="s">
        <v>177</v>
      </c>
      <c r="BE496" s="141">
        <f>IF(N496="základní",J496,0)</f>
        <v>0</v>
      </c>
      <c r="BF496" s="141">
        <f>IF(N496="snížená",J496,0)</f>
        <v>0</v>
      </c>
      <c r="BG496" s="141">
        <f>IF(N496="zákl. přenesená",J496,0)</f>
        <v>0</v>
      </c>
      <c r="BH496" s="141">
        <f>IF(N496="sníž. přenesená",J496,0)</f>
        <v>0</v>
      </c>
      <c r="BI496" s="141">
        <f>IF(N496="nulová",J496,0)</f>
        <v>0</v>
      </c>
      <c r="BJ496" s="18" t="s">
        <v>85</v>
      </c>
      <c r="BK496" s="141">
        <f>ROUND(I496*H496,2)</f>
        <v>0</v>
      </c>
      <c r="BL496" s="18" t="s">
        <v>185</v>
      </c>
      <c r="BM496" s="140" t="s">
        <v>2659</v>
      </c>
    </row>
    <row r="497" spans="2:47" s="1" customFormat="1" ht="19.5">
      <c r="B497" s="33"/>
      <c r="D497" s="142" t="s">
        <v>187</v>
      </c>
      <c r="F497" s="143" t="s">
        <v>1128</v>
      </c>
      <c r="I497" s="144"/>
      <c r="L497" s="33"/>
      <c r="M497" s="145"/>
      <c r="T497" s="54"/>
      <c r="AT497" s="18" t="s">
        <v>187</v>
      </c>
      <c r="AU497" s="18" t="s">
        <v>87</v>
      </c>
    </row>
    <row r="498" spans="2:47" s="1" customFormat="1" ht="11.25">
      <c r="B498" s="33"/>
      <c r="D498" s="146" t="s">
        <v>189</v>
      </c>
      <c r="F498" s="147" t="s">
        <v>1129</v>
      </c>
      <c r="I498" s="144"/>
      <c r="L498" s="33"/>
      <c r="M498" s="145"/>
      <c r="T498" s="54"/>
      <c r="AT498" s="18" t="s">
        <v>189</v>
      </c>
      <c r="AU498" s="18" t="s">
        <v>87</v>
      </c>
    </row>
    <row r="499" spans="2:47" s="1" customFormat="1" ht="48.75">
      <c r="B499" s="33"/>
      <c r="D499" s="142" t="s">
        <v>191</v>
      </c>
      <c r="F499" s="148" t="s">
        <v>350</v>
      </c>
      <c r="I499" s="144"/>
      <c r="L499" s="33"/>
      <c r="M499" s="145"/>
      <c r="T499" s="54"/>
      <c r="AT499" s="18" t="s">
        <v>191</v>
      </c>
      <c r="AU499" s="18" t="s">
        <v>87</v>
      </c>
    </row>
    <row r="500" spans="2:65" s="1" customFormat="1" ht="33" customHeight="1">
      <c r="B500" s="128"/>
      <c r="C500" s="129" t="s">
        <v>1266</v>
      </c>
      <c r="D500" s="129" t="s">
        <v>180</v>
      </c>
      <c r="E500" s="130" t="s">
        <v>367</v>
      </c>
      <c r="F500" s="131" t="s">
        <v>368</v>
      </c>
      <c r="G500" s="132" t="s">
        <v>332</v>
      </c>
      <c r="H500" s="133">
        <v>4.044</v>
      </c>
      <c r="I500" s="134"/>
      <c r="J500" s="135">
        <f>ROUND(I500*H500,2)</f>
        <v>0</v>
      </c>
      <c r="K500" s="131" t="s">
        <v>184</v>
      </c>
      <c r="L500" s="33"/>
      <c r="M500" s="136" t="s">
        <v>3</v>
      </c>
      <c r="N500" s="137" t="s">
        <v>48</v>
      </c>
      <c r="P500" s="138">
        <f>O500*H500</f>
        <v>0</v>
      </c>
      <c r="Q500" s="138">
        <v>0</v>
      </c>
      <c r="R500" s="138">
        <f>Q500*H500</f>
        <v>0</v>
      </c>
      <c r="S500" s="138">
        <v>0.07</v>
      </c>
      <c r="T500" s="139">
        <f>S500*H500</f>
        <v>0.28308</v>
      </c>
      <c r="AR500" s="140" t="s">
        <v>185</v>
      </c>
      <c r="AT500" s="140" t="s">
        <v>180</v>
      </c>
      <c r="AU500" s="140" t="s">
        <v>87</v>
      </c>
      <c r="AY500" s="18" t="s">
        <v>177</v>
      </c>
      <c r="BE500" s="141">
        <f>IF(N500="základní",J500,0)</f>
        <v>0</v>
      </c>
      <c r="BF500" s="141">
        <f>IF(N500="snížená",J500,0)</f>
        <v>0</v>
      </c>
      <c r="BG500" s="141">
        <f>IF(N500="zákl. přenesená",J500,0)</f>
        <v>0</v>
      </c>
      <c r="BH500" s="141">
        <f>IF(N500="sníž. přenesená",J500,0)</f>
        <v>0</v>
      </c>
      <c r="BI500" s="141">
        <f>IF(N500="nulová",J500,0)</f>
        <v>0</v>
      </c>
      <c r="BJ500" s="18" t="s">
        <v>85</v>
      </c>
      <c r="BK500" s="141">
        <f>ROUND(I500*H500,2)</f>
        <v>0</v>
      </c>
      <c r="BL500" s="18" t="s">
        <v>185</v>
      </c>
      <c r="BM500" s="140" t="s">
        <v>2660</v>
      </c>
    </row>
    <row r="501" spans="2:47" s="1" customFormat="1" ht="19.5">
      <c r="B501" s="33"/>
      <c r="D501" s="142" t="s">
        <v>187</v>
      </c>
      <c r="F501" s="143" t="s">
        <v>370</v>
      </c>
      <c r="I501" s="144"/>
      <c r="L501" s="33"/>
      <c r="M501" s="145"/>
      <c r="T501" s="54"/>
      <c r="AT501" s="18" t="s">
        <v>187</v>
      </c>
      <c r="AU501" s="18" t="s">
        <v>87</v>
      </c>
    </row>
    <row r="502" spans="2:47" s="1" customFormat="1" ht="11.25">
      <c r="B502" s="33"/>
      <c r="D502" s="146" t="s">
        <v>189</v>
      </c>
      <c r="F502" s="147" t="s">
        <v>371</v>
      </c>
      <c r="I502" s="144"/>
      <c r="L502" s="33"/>
      <c r="M502" s="145"/>
      <c r="T502" s="54"/>
      <c r="AT502" s="18" t="s">
        <v>189</v>
      </c>
      <c r="AU502" s="18" t="s">
        <v>87</v>
      </c>
    </row>
    <row r="503" spans="2:47" s="1" customFormat="1" ht="78">
      <c r="B503" s="33"/>
      <c r="D503" s="142" t="s">
        <v>191</v>
      </c>
      <c r="F503" s="148" t="s">
        <v>372</v>
      </c>
      <c r="I503" s="144"/>
      <c r="L503" s="33"/>
      <c r="M503" s="145"/>
      <c r="T503" s="54"/>
      <c r="AT503" s="18" t="s">
        <v>191</v>
      </c>
      <c r="AU503" s="18" t="s">
        <v>87</v>
      </c>
    </row>
    <row r="504" spans="2:65" s="1" customFormat="1" ht="24.2" customHeight="1">
      <c r="B504" s="128"/>
      <c r="C504" s="129" t="s">
        <v>1274</v>
      </c>
      <c r="D504" s="129" t="s">
        <v>180</v>
      </c>
      <c r="E504" s="130" t="s">
        <v>378</v>
      </c>
      <c r="F504" s="131" t="s">
        <v>379</v>
      </c>
      <c r="G504" s="132" t="s">
        <v>332</v>
      </c>
      <c r="H504" s="133">
        <v>4.044</v>
      </c>
      <c r="I504" s="134"/>
      <c r="J504" s="135">
        <f>ROUND(I504*H504,2)</f>
        <v>0</v>
      </c>
      <c r="K504" s="131" t="s">
        <v>184</v>
      </c>
      <c r="L504" s="33"/>
      <c r="M504" s="136" t="s">
        <v>3</v>
      </c>
      <c r="N504" s="137" t="s">
        <v>48</v>
      </c>
      <c r="P504" s="138">
        <f>O504*H504</f>
        <v>0</v>
      </c>
      <c r="Q504" s="138">
        <v>0</v>
      </c>
      <c r="R504" s="138">
        <f>Q504*H504</f>
        <v>0</v>
      </c>
      <c r="S504" s="138">
        <v>0</v>
      </c>
      <c r="T504" s="139">
        <f>S504*H504</f>
        <v>0</v>
      </c>
      <c r="AR504" s="140" t="s">
        <v>185</v>
      </c>
      <c r="AT504" s="140" t="s">
        <v>180</v>
      </c>
      <c r="AU504" s="140" t="s">
        <v>87</v>
      </c>
      <c r="AY504" s="18" t="s">
        <v>177</v>
      </c>
      <c r="BE504" s="141">
        <f>IF(N504="základní",J504,0)</f>
        <v>0</v>
      </c>
      <c r="BF504" s="141">
        <f>IF(N504="snížená",J504,0)</f>
        <v>0</v>
      </c>
      <c r="BG504" s="141">
        <f>IF(N504="zákl. přenesená",J504,0)</f>
        <v>0</v>
      </c>
      <c r="BH504" s="141">
        <f>IF(N504="sníž. přenesená",J504,0)</f>
        <v>0</v>
      </c>
      <c r="BI504" s="141">
        <f>IF(N504="nulová",J504,0)</f>
        <v>0</v>
      </c>
      <c r="BJ504" s="18" t="s">
        <v>85</v>
      </c>
      <c r="BK504" s="141">
        <f>ROUND(I504*H504,2)</f>
        <v>0</v>
      </c>
      <c r="BL504" s="18" t="s">
        <v>185</v>
      </c>
      <c r="BM504" s="140" t="s">
        <v>2661</v>
      </c>
    </row>
    <row r="505" spans="2:47" s="1" customFormat="1" ht="19.5">
      <c r="B505" s="33"/>
      <c r="D505" s="142" t="s">
        <v>187</v>
      </c>
      <c r="F505" s="143" t="s">
        <v>381</v>
      </c>
      <c r="I505" s="144"/>
      <c r="L505" s="33"/>
      <c r="M505" s="145"/>
      <c r="T505" s="54"/>
      <c r="AT505" s="18" t="s">
        <v>187</v>
      </c>
      <c r="AU505" s="18" t="s">
        <v>87</v>
      </c>
    </row>
    <row r="506" spans="2:47" s="1" customFormat="1" ht="11.25">
      <c r="B506" s="33"/>
      <c r="D506" s="146" t="s">
        <v>189</v>
      </c>
      <c r="F506" s="147" t="s">
        <v>382</v>
      </c>
      <c r="I506" s="144"/>
      <c r="L506" s="33"/>
      <c r="M506" s="145"/>
      <c r="T506" s="54"/>
      <c r="AT506" s="18" t="s">
        <v>189</v>
      </c>
      <c r="AU506" s="18" t="s">
        <v>87</v>
      </c>
    </row>
    <row r="507" spans="2:47" s="1" customFormat="1" ht="78">
      <c r="B507" s="33"/>
      <c r="D507" s="142" t="s">
        <v>191</v>
      </c>
      <c r="F507" s="148" t="s">
        <v>383</v>
      </c>
      <c r="I507" s="144"/>
      <c r="L507" s="33"/>
      <c r="M507" s="145"/>
      <c r="T507" s="54"/>
      <c r="AT507" s="18" t="s">
        <v>191</v>
      </c>
      <c r="AU507" s="18" t="s">
        <v>87</v>
      </c>
    </row>
    <row r="508" spans="2:65" s="1" customFormat="1" ht="24.2" customHeight="1">
      <c r="B508" s="128"/>
      <c r="C508" s="129" t="s">
        <v>1282</v>
      </c>
      <c r="D508" s="129" t="s">
        <v>180</v>
      </c>
      <c r="E508" s="130" t="s">
        <v>1149</v>
      </c>
      <c r="F508" s="131" t="s">
        <v>1150</v>
      </c>
      <c r="G508" s="132" t="s">
        <v>332</v>
      </c>
      <c r="H508" s="133">
        <v>1.348</v>
      </c>
      <c r="I508" s="134"/>
      <c r="J508" s="135">
        <f>ROUND(I508*H508,2)</f>
        <v>0</v>
      </c>
      <c r="K508" s="131" t="s">
        <v>184</v>
      </c>
      <c r="L508" s="33"/>
      <c r="M508" s="136" t="s">
        <v>3</v>
      </c>
      <c r="N508" s="137" t="s">
        <v>48</v>
      </c>
      <c r="P508" s="138">
        <f>O508*H508</f>
        <v>0</v>
      </c>
      <c r="Q508" s="138">
        <v>0.04029</v>
      </c>
      <c r="R508" s="138">
        <f>Q508*H508</f>
        <v>0.054310920000000006</v>
      </c>
      <c r="S508" s="138">
        <v>0</v>
      </c>
      <c r="T508" s="139">
        <f>S508*H508</f>
        <v>0</v>
      </c>
      <c r="AR508" s="140" t="s">
        <v>185</v>
      </c>
      <c r="AT508" s="140" t="s">
        <v>180</v>
      </c>
      <c r="AU508" s="140" t="s">
        <v>87</v>
      </c>
      <c r="AY508" s="18" t="s">
        <v>177</v>
      </c>
      <c r="BE508" s="141">
        <f>IF(N508="základní",J508,0)</f>
        <v>0</v>
      </c>
      <c r="BF508" s="141">
        <f>IF(N508="snížená",J508,0)</f>
        <v>0</v>
      </c>
      <c r="BG508" s="141">
        <f>IF(N508="zákl. přenesená",J508,0)</f>
        <v>0</v>
      </c>
      <c r="BH508" s="141">
        <f>IF(N508="sníž. přenesená",J508,0)</f>
        <v>0</v>
      </c>
      <c r="BI508" s="141">
        <f>IF(N508="nulová",J508,0)</f>
        <v>0</v>
      </c>
      <c r="BJ508" s="18" t="s">
        <v>85</v>
      </c>
      <c r="BK508" s="141">
        <f>ROUND(I508*H508,2)</f>
        <v>0</v>
      </c>
      <c r="BL508" s="18" t="s">
        <v>185</v>
      </c>
      <c r="BM508" s="140" t="s">
        <v>2662</v>
      </c>
    </row>
    <row r="509" spans="2:47" s="1" customFormat="1" ht="19.5">
      <c r="B509" s="33"/>
      <c r="D509" s="142" t="s">
        <v>187</v>
      </c>
      <c r="F509" s="143" t="s">
        <v>1152</v>
      </c>
      <c r="I509" s="144"/>
      <c r="L509" s="33"/>
      <c r="M509" s="145"/>
      <c r="T509" s="54"/>
      <c r="AT509" s="18" t="s">
        <v>187</v>
      </c>
      <c r="AU509" s="18" t="s">
        <v>87</v>
      </c>
    </row>
    <row r="510" spans="2:47" s="1" customFormat="1" ht="11.25">
      <c r="B510" s="33"/>
      <c r="D510" s="146" t="s">
        <v>189</v>
      </c>
      <c r="F510" s="147" t="s">
        <v>1153</v>
      </c>
      <c r="I510" s="144"/>
      <c r="L510" s="33"/>
      <c r="M510" s="145"/>
      <c r="T510" s="54"/>
      <c r="AT510" s="18" t="s">
        <v>189</v>
      </c>
      <c r="AU510" s="18" t="s">
        <v>87</v>
      </c>
    </row>
    <row r="511" spans="2:47" s="1" customFormat="1" ht="165.75">
      <c r="B511" s="33"/>
      <c r="D511" s="142" t="s">
        <v>191</v>
      </c>
      <c r="F511" s="148" t="s">
        <v>396</v>
      </c>
      <c r="I511" s="144"/>
      <c r="L511" s="33"/>
      <c r="M511" s="145"/>
      <c r="T511" s="54"/>
      <c r="AT511" s="18" t="s">
        <v>191</v>
      </c>
      <c r="AU511" s="18" t="s">
        <v>87</v>
      </c>
    </row>
    <row r="512" spans="2:51" s="13" customFormat="1" ht="11.25">
      <c r="B512" s="156"/>
      <c r="D512" s="142" t="s">
        <v>193</v>
      </c>
      <c r="E512" s="157" t="s">
        <v>3</v>
      </c>
      <c r="F512" s="158" t="s">
        <v>2663</v>
      </c>
      <c r="H512" s="157" t="s">
        <v>3</v>
      </c>
      <c r="I512" s="159"/>
      <c r="L512" s="156"/>
      <c r="M512" s="160"/>
      <c r="T512" s="161"/>
      <c r="AT512" s="157" t="s">
        <v>193</v>
      </c>
      <c r="AU512" s="157" t="s">
        <v>87</v>
      </c>
      <c r="AV512" s="13" t="s">
        <v>85</v>
      </c>
      <c r="AW512" s="13" t="s">
        <v>36</v>
      </c>
      <c r="AX512" s="13" t="s">
        <v>77</v>
      </c>
      <c r="AY512" s="157" t="s">
        <v>177</v>
      </c>
    </row>
    <row r="513" spans="2:51" s="12" customFormat="1" ht="11.25">
      <c r="B513" s="149"/>
      <c r="D513" s="142" t="s">
        <v>193</v>
      </c>
      <c r="E513" s="150" t="s">
        <v>3</v>
      </c>
      <c r="F513" s="151" t="s">
        <v>2664</v>
      </c>
      <c r="H513" s="152">
        <v>1.348</v>
      </c>
      <c r="I513" s="153"/>
      <c r="L513" s="149"/>
      <c r="M513" s="154"/>
      <c r="T513" s="155"/>
      <c r="AT513" s="150" t="s">
        <v>193</v>
      </c>
      <c r="AU513" s="150" t="s">
        <v>87</v>
      </c>
      <c r="AV513" s="12" t="s">
        <v>87</v>
      </c>
      <c r="AW513" s="12" t="s">
        <v>36</v>
      </c>
      <c r="AX513" s="12" t="s">
        <v>85</v>
      </c>
      <c r="AY513" s="150" t="s">
        <v>177</v>
      </c>
    </row>
    <row r="514" spans="2:65" s="1" customFormat="1" ht="24.2" customHeight="1">
      <c r="B514" s="128"/>
      <c r="C514" s="129" t="s">
        <v>1290</v>
      </c>
      <c r="D514" s="129" t="s">
        <v>180</v>
      </c>
      <c r="E514" s="130" t="s">
        <v>1157</v>
      </c>
      <c r="F514" s="131" t="s">
        <v>1158</v>
      </c>
      <c r="G514" s="132" t="s">
        <v>332</v>
      </c>
      <c r="H514" s="133">
        <v>2.696</v>
      </c>
      <c r="I514" s="134"/>
      <c r="J514" s="135">
        <f>ROUND(I514*H514,2)</f>
        <v>0</v>
      </c>
      <c r="K514" s="131" t="s">
        <v>184</v>
      </c>
      <c r="L514" s="33"/>
      <c r="M514" s="136" t="s">
        <v>3</v>
      </c>
      <c r="N514" s="137" t="s">
        <v>48</v>
      </c>
      <c r="P514" s="138">
        <f>O514*H514</f>
        <v>0</v>
      </c>
      <c r="Q514" s="138">
        <v>0.08374</v>
      </c>
      <c r="R514" s="138">
        <f>Q514*H514</f>
        <v>0.22576304</v>
      </c>
      <c r="S514" s="138">
        <v>0</v>
      </c>
      <c r="T514" s="139">
        <f>S514*H514</f>
        <v>0</v>
      </c>
      <c r="AR514" s="140" t="s">
        <v>185</v>
      </c>
      <c r="AT514" s="140" t="s">
        <v>180</v>
      </c>
      <c r="AU514" s="140" t="s">
        <v>87</v>
      </c>
      <c r="AY514" s="18" t="s">
        <v>177</v>
      </c>
      <c r="BE514" s="141">
        <f>IF(N514="základní",J514,0)</f>
        <v>0</v>
      </c>
      <c r="BF514" s="141">
        <f>IF(N514="snížená",J514,0)</f>
        <v>0</v>
      </c>
      <c r="BG514" s="141">
        <f>IF(N514="zákl. přenesená",J514,0)</f>
        <v>0</v>
      </c>
      <c r="BH514" s="141">
        <f>IF(N514="sníž. přenesená",J514,0)</f>
        <v>0</v>
      </c>
      <c r="BI514" s="141">
        <f>IF(N514="nulová",J514,0)</f>
        <v>0</v>
      </c>
      <c r="BJ514" s="18" t="s">
        <v>85</v>
      </c>
      <c r="BK514" s="141">
        <f>ROUND(I514*H514,2)</f>
        <v>0</v>
      </c>
      <c r="BL514" s="18" t="s">
        <v>185</v>
      </c>
      <c r="BM514" s="140" t="s">
        <v>2665</v>
      </c>
    </row>
    <row r="515" spans="2:47" s="1" customFormat="1" ht="19.5">
      <c r="B515" s="33"/>
      <c r="D515" s="142" t="s">
        <v>187</v>
      </c>
      <c r="F515" s="143" t="s">
        <v>1160</v>
      </c>
      <c r="I515" s="144"/>
      <c r="L515" s="33"/>
      <c r="M515" s="145"/>
      <c r="T515" s="54"/>
      <c r="AT515" s="18" t="s">
        <v>187</v>
      </c>
      <c r="AU515" s="18" t="s">
        <v>87</v>
      </c>
    </row>
    <row r="516" spans="2:47" s="1" customFormat="1" ht="11.25">
      <c r="B516" s="33"/>
      <c r="D516" s="146" t="s">
        <v>189</v>
      </c>
      <c r="F516" s="147" t="s">
        <v>1161</v>
      </c>
      <c r="I516" s="144"/>
      <c r="L516" s="33"/>
      <c r="M516" s="145"/>
      <c r="T516" s="54"/>
      <c r="AT516" s="18" t="s">
        <v>189</v>
      </c>
      <c r="AU516" s="18" t="s">
        <v>87</v>
      </c>
    </row>
    <row r="517" spans="2:47" s="1" customFormat="1" ht="165.75">
      <c r="B517" s="33"/>
      <c r="D517" s="142" t="s">
        <v>191</v>
      </c>
      <c r="F517" s="148" t="s">
        <v>396</v>
      </c>
      <c r="I517" s="144"/>
      <c r="L517" s="33"/>
      <c r="M517" s="145"/>
      <c r="T517" s="54"/>
      <c r="AT517" s="18" t="s">
        <v>191</v>
      </c>
      <c r="AU517" s="18" t="s">
        <v>87</v>
      </c>
    </row>
    <row r="518" spans="2:51" s="13" customFormat="1" ht="11.25">
      <c r="B518" s="156"/>
      <c r="D518" s="142" t="s">
        <v>193</v>
      </c>
      <c r="E518" s="157" t="s">
        <v>3</v>
      </c>
      <c r="F518" s="158" t="s">
        <v>1858</v>
      </c>
      <c r="H518" s="157" t="s">
        <v>3</v>
      </c>
      <c r="I518" s="159"/>
      <c r="L518" s="156"/>
      <c r="M518" s="160"/>
      <c r="T518" s="161"/>
      <c r="AT518" s="157" t="s">
        <v>193</v>
      </c>
      <c r="AU518" s="157" t="s">
        <v>87</v>
      </c>
      <c r="AV518" s="13" t="s">
        <v>85</v>
      </c>
      <c r="AW518" s="13" t="s">
        <v>36</v>
      </c>
      <c r="AX518" s="13" t="s">
        <v>77</v>
      </c>
      <c r="AY518" s="157" t="s">
        <v>177</v>
      </c>
    </row>
    <row r="519" spans="2:51" s="12" customFormat="1" ht="11.25">
      <c r="B519" s="149"/>
      <c r="D519" s="142" t="s">
        <v>193</v>
      </c>
      <c r="E519" s="150" t="s">
        <v>3</v>
      </c>
      <c r="F519" s="151" t="s">
        <v>2666</v>
      </c>
      <c r="H519" s="152">
        <v>2.696</v>
      </c>
      <c r="I519" s="153"/>
      <c r="L519" s="149"/>
      <c r="M519" s="154"/>
      <c r="T519" s="155"/>
      <c r="AT519" s="150" t="s">
        <v>193</v>
      </c>
      <c r="AU519" s="150" t="s">
        <v>87</v>
      </c>
      <c r="AV519" s="12" t="s">
        <v>87</v>
      </c>
      <c r="AW519" s="12" t="s">
        <v>36</v>
      </c>
      <c r="AX519" s="12" t="s">
        <v>85</v>
      </c>
      <c r="AY519" s="150" t="s">
        <v>177</v>
      </c>
    </row>
    <row r="520" spans="2:65" s="1" customFormat="1" ht="24.2" customHeight="1">
      <c r="B520" s="128"/>
      <c r="C520" s="129" t="s">
        <v>1296</v>
      </c>
      <c r="D520" s="129" t="s">
        <v>180</v>
      </c>
      <c r="E520" s="130" t="s">
        <v>1168</v>
      </c>
      <c r="F520" s="131" t="s">
        <v>1169</v>
      </c>
      <c r="G520" s="132" t="s">
        <v>332</v>
      </c>
      <c r="H520" s="133">
        <v>2.696</v>
      </c>
      <c r="I520" s="134"/>
      <c r="J520" s="135">
        <f>ROUND(I520*H520,2)</f>
        <v>0</v>
      </c>
      <c r="K520" s="131" t="s">
        <v>184</v>
      </c>
      <c r="L520" s="33"/>
      <c r="M520" s="136" t="s">
        <v>3</v>
      </c>
      <c r="N520" s="137" t="s">
        <v>48</v>
      </c>
      <c r="P520" s="138">
        <f>O520*H520</f>
        <v>0</v>
      </c>
      <c r="Q520" s="138">
        <v>0.00134</v>
      </c>
      <c r="R520" s="138">
        <f>Q520*H520</f>
        <v>0.0036126400000000003</v>
      </c>
      <c r="S520" s="138">
        <v>0</v>
      </c>
      <c r="T520" s="139">
        <f>S520*H520</f>
        <v>0</v>
      </c>
      <c r="AR520" s="140" t="s">
        <v>185</v>
      </c>
      <c r="AT520" s="140" t="s">
        <v>180</v>
      </c>
      <c r="AU520" s="140" t="s">
        <v>87</v>
      </c>
      <c r="AY520" s="18" t="s">
        <v>177</v>
      </c>
      <c r="BE520" s="141">
        <f>IF(N520="základní",J520,0)</f>
        <v>0</v>
      </c>
      <c r="BF520" s="141">
        <f>IF(N520="snížená",J520,0)</f>
        <v>0</v>
      </c>
      <c r="BG520" s="141">
        <f>IF(N520="zákl. přenesená",J520,0)</f>
        <v>0</v>
      </c>
      <c r="BH520" s="141">
        <f>IF(N520="sníž. přenesená",J520,0)</f>
        <v>0</v>
      </c>
      <c r="BI520" s="141">
        <f>IF(N520="nulová",J520,0)</f>
        <v>0</v>
      </c>
      <c r="BJ520" s="18" t="s">
        <v>85</v>
      </c>
      <c r="BK520" s="141">
        <f>ROUND(I520*H520,2)</f>
        <v>0</v>
      </c>
      <c r="BL520" s="18" t="s">
        <v>185</v>
      </c>
      <c r="BM520" s="140" t="s">
        <v>2667</v>
      </c>
    </row>
    <row r="521" spans="2:47" s="1" customFormat="1" ht="19.5">
      <c r="B521" s="33"/>
      <c r="D521" s="142" t="s">
        <v>187</v>
      </c>
      <c r="F521" s="143" t="s">
        <v>1171</v>
      </c>
      <c r="I521" s="144"/>
      <c r="L521" s="33"/>
      <c r="M521" s="145"/>
      <c r="T521" s="54"/>
      <c r="AT521" s="18" t="s">
        <v>187</v>
      </c>
      <c r="AU521" s="18" t="s">
        <v>87</v>
      </c>
    </row>
    <row r="522" spans="2:47" s="1" customFormat="1" ht="11.25">
      <c r="B522" s="33"/>
      <c r="D522" s="146" t="s">
        <v>189</v>
      </c>
      <c r="F522" s="147" t="s">
        <v>1172</v>
      </c>
      <c r="I522" s="144"/>
      <c r="L522" s="33"/>
      <c r="M522" s="145"/>
      <c r="T522" s="54"/>
      <c r="AT522" s="18" t="s">
        <v>189</v>
      </c>
      <c r="AU522" s="18" t="s">
        <v>87</v>
      </c>
    </row>
    <row r="523" spans="2:47" s="1" customFormat="1" ht="48.75">
      <c r="B523" s="33"/>
      <c r="D523" s="142" t="s">
        <v>191</v>
      </c>
      <c r="F523" s="148" t="s">
        <v>459</v>
      </c>
      <c r="I523" s="144"/>
      <c r="L523" s="33"/>
      <c r="M523" s="145"/>
      <c r="T523" s="54"/>
      <c r="AT523" s="18" t="s">
        <v>191</v>
      </c>
      <c r="AU523" s="18" t="s">
        <v>87</v>
      </c>
    </row>
    <row r="524" spans="2:65" s="1" customFormat="1" ht="24.2" customHeight="1">
      <c r="B524" s="128"/>
      <c r="C524" s="129" t="s">
        <v>1304</v>
      </c>
      <c r="D524" s="129" t="s">
        <v>180</v>
      </c>
      <c r="E524" s="130" t="s">
        <v>462</v>
      </c>
      <c r="F524" s="131" t="s">
        <v>463</v>
      </c>
      <c r="G524" s="132" t="s">
        <v>332</v>
      </c>
      <c r="H524" s="133">
        <v>4.044</v>
      </c>
      <c r="I524" s="134"/>
      <c r="J524" s="135">
        <f>ROUND(I524*H524,2)</f>
        <v>0</v>
      </c>
      <c r="K524" s="131" t="s">
        <v>184</v>
      </c>
      <c r="L524" s="33"/>
      <c r="M524" s="136" t="s">
        <v>3</v>
      </c>
      <c r="N524" s="137" t="s">
        <v>48</v>
      </c>
      <c r="P524" s="138">
        <f>O524*H524</f>
        <v>0</v>
      </c>
      <c r="Q524" s="138">
        <v>0.0021</v>
      </c>
      <c r="R524" s="138">
        <f>Q524*H524</f>
        <v>0.008492399999999999</v>
      </c>
      <c r="S524" s="138">
        <v>0</v>
      </c>
      <c r="T524" s="139">
        <f>S524*H524</f>
        <v>0</v>
      </c>
      <c r="AR524" s="140" t="s">
        <v>185</v>
      </c>
      <c r="AT524" s="140" t="s">
        <v>180</v>
      </c>
      <c r="AU524" s="140" t="s">
        <v>87</v>
      </c>
      <c r="AY524" s="18" t="s">
        <v>177</v>
      </c>
      <c r="BE524" s="141">
        <f>IF(N524="základní",J524,0)</f>
        <v>0</v>
      </c>
      <c r="BF524" s="141">
        <f>IF(N524="snížená",J524,0)</f>
        <v>0</v>
      </c>
      <c r="BG524" s="141">
        <f>IF(N524="zákl. přenesená",J524,0)</f>
        <v>0</v>
      </c>
      <c r="BH524" s="141">
        <f>IF(N524="sníž. přenesená",J524,0)</f>
        <v>0</v>
      </c>
      <c r="BI524" s="141">
        <f>IF(N524="nulová",J524,0)</f>
        <v>0</v>
      </c>
      <c r="BJ524" s="18" t="s">
        <v>85</v>
      </c>
      <c r="BK524" s="141">
        <f>ROUND(I524*H524,2)</f>
        <v>0</v>
      </c>
      <c r="BL524" s="18" t="s">
        <v>185</v>
      </c>
      <c r="BM524" s="140" t="s">
        <v>2668</v>
      </c>
    </row>
    <row r="525" spans="2:47" s="1" customFormat="1" ht="19.5">
      <c r="B525" s="33"/>
      <c r="D525" s="142" t="s">
        <v>187</v>
      </c>
      <c r="F525" s="143" t="s">
        <v>465</v>
      </c>
      <c r="I525" s="144"/>
      <c r="L525" s="33"/>
      <c r="M525" s="145"/>
      <c r="T525" s="54"/>
      <c r="AT525" s="18" t="s">
        <v>187</v>
      </c>
      <c r="AU525" s="18" t="s">
        <v>87</v>
      </c>
    </row>
    <row r="526" spans="2:47" s="1" customFormat="1" ht="11.25">
      <c r="B526" s="33"/>
      <c r="D526" s="146" t="s">
        <v>189</v>
      </c>
      <c r="F526" s="147" t="s">
        <v>466</v>
      </c>
      <c r="I526" s="144"/>
      <c r="L526" s="33"/>
      <c r="M526" s="145"/>
      <c r="T526" s="54"/>
      <c r="AT526" s="18" t="s">
        <v>189</v>
      </c>
      <c r="AU526" s="18" t="s">
        <v>87</v>
      </c>
    </row>
    <row r="527" spans="2:51" s="12" customFormat="1" ht="11.25">
      <c r="B527" s="149"/>
      <c r="D527" s="142" t="s">
        <v>193</v>
      </c>
      <c r="E527" s="150" t="s">
        <v>3</v>
      </c>
      <c r="F527" s="151" t="s">
        <v>2669</v>
      </c>
      <c r="H527" s="152">
        <v>4.044</v>
      </c>
      <c r="I527" s="153"/>
      <c r="L527" s="149"/>
      <c r="M527" s="154"/>
      <c r="T527" s="155"/>
      <c r="AT527" s="150" t="s">
        <v>193</v>
      </c>
      <c r="AU527" s="150" t="s">
        <v>87</v>
      </c>
      <c r="AV527" s="12" t="s">
        <v>87</v>
      </c>
      <c r="AW527" s="12" t="s">
        <v>36</v>
      </c>
      <c r="AX527" s="12" t="s">
        <v>85</v>
      </c>
      <c r="AY527" s="150" t="s">
        <v>177</v>
      </c>
    </row>
    <row r="528" spans="2:65" s="1" customFormat="1" ht="24.2" customHeight="1">
      <c r="B528" s="128"/>
      <c r="C528" s="129" t="s">
        <v>1312</v>
      </c>
      <c r="D528" s="129" t="s">
        <v>180</v>
      </c>
      <c r="E528" s="130" t="s">
        <v>474</v>
      </c>
      <c r="F528" s="131" t="s">
        <v>475</v>
      </c>
      <c r="G528" s="132" t="s">
        <v>476</v>
      </c>
      <c r="H528" s="133">
        <v>3.37</v>
      </c>
      <c r="I528" s="134"/>
      <c r="J528" s="135">
        <f>ROUND(I528*H528,2)</f>
        <v>0</v>
      </c>
      <c r="K528" s="131" t="s">
        <v>184</v>
      </c>
      <c r="L528" s="33"/>
      <c r="M528" s="136" t="s">
        <v>3</v>
      </c>
      <c r="N528" s="137" t="s">
        <v>48</v>
      </c>
      <c r="P528" s="138">
        <f>O528*H528</f>
        <v>0</v>
      </c>
      <c r="Q528" s="138">
        <v>0.0004314</v>
      </c>
      <c r="R528" s="138">
        <f>Q528*H528</f>
        <v>0.0014538180000000002</v>
      </c>
      <c r="S528" s="138">
        <v>0</v>
      </c>
      <c r="T528" s="139">
        <f>S528*H528</f>
        <v>0</v>
      </c>
      <c r="AR528" s="140" t="s">
        <v>185</v>
      </c>
      <c r="AT528" s="140" t="s">
        <v>180</v>
      </c>
      <c r="AU528" s="140" t="s">
        <v>87</v>
      </c>
      <c r="AY528" s="18" t="s">
        <v>177</v>
      </c>
      <c r="BE528" s="141">
        <f>IF(N528="základní",J528,0)</f>
        <v>0</v>
      </c>
      <c r="BF528" s="141">
        <f>IF(N528="snížená",J528,0)</f>
        <v>0</v>
      </c>
      <c r="BG528" s="141">
        <f>IF(N528="zákl. přenesená",J528,0)</f>
        <v>0</v>
      </c>
      <c r="BH528" s="141">
        <f>IF(N528="sníž. přenesená",J528,0)</f>
        <v>0</v>
      </c>
      <c r="BI528" s="141">
        <f>IF(N528="nulová",J528,0)</f>
        <v>0</v>
      </c>
      <c r="BJ528" s="18" t="s">
        <v>85</v>
      </c>
      <c r="BK528" s="141">
        <f>ROUND(I528*H528,2)</f>
        <v>0</v>
      </c>
      <c r="BL528" s="18" t="s">
        <v>185</v>
      </c>
      <c r="BM528" s="140" t="s">
        <v>2670</v>
      </c>
    </row>
    <row r="529" spans="2:47" s="1" customFormat="1" ht="19.5">
      <c r="B529" s="33"/>
      <c r="D529" s="142" t="s">
        <v>187</v>
      </c>
      <c r="F529" s="143" t="s">
        <v>478</v>
      </c>
      <c r="I529" s="144"/>
      <c r="L529" s="33"/>
      <c r="M529" s="145"/>
      <c r="T529" s="54"/>
      <c r="AT529" s="18" t="s">
        <v>187</v>
      </c>
      <c r="AU529" s="18" t="s">
        <v>87</v>
      </c>
    </row>
    <row r="530" spans="2:47" s="1" customFormat="1" ht="11.25">
      <c r="B530" s="33"/>
      <c r="D530" s="146" t="s">
        <v>189</v>
      </c>
      <c r="F530" s="147" t="s">
        <v>479</v>
      </c>
      <c r="I530" s="144"/>
      <c r="L530" s="33"/>
      <c r="M530" s="145"/>
      <c r="T530" s="54"/>
      <c r="AT530" s="18" t="s">
        <v>189</v>
      </c>
      <c r="AU530" s="18" t="s">
        <v>87</v>
      </c>
    </row>
    <row r="531" spans="2:47" s="1" customFormat="1" ht="107.25">
      <c r="B531" s="33"/>
      <c r="D531" s="142" t="s">
        <v>191</v>
      </c>
      <c r="F531" s="148" t="s">
        <v>480</v>
      </c>
      <c r="I531" s="144"/>
      <c r="L531" s="33"/>
      <c r="M531" s="145"/>
      <c r="T531" s="54"/>
      <c r="AT531" s="18" t="s">
        <v>191</v>
      </c>
      <c r="AU531" s="18" t="s">
        <v>87</v>
      </c>
    </row>
    <row r="532" spans="2:51" s="13" customFormat="1" ht="11.25">
      <c r="B532" s="156"/>
      <c r="D532" s="142" t="s">
        <v>193</v>
      </c>
      <c r="E532" s="157" t="s">
        <v>3</v>
      </c>
      <c r="F532" s="158" t="s">
        <v>481</v>
      </c>
      <c r="H532" s="157" t="s">
        <v>3</v>
      </c>
      <c r="I532" s="159"/>
      <c r="L532" s="156"/>
      <c r="M532" s="160"/>
      <c r="T532" s="161"/>
      <c r="AT532" s="157" t="s">
        <v>193</v>
      </c>
      <c r="AU532" s="157" t="s">
        <v>87</v>
      </c>
      <c r="AV532" s="13" t="s">
        <v>85</v>
      </c>
      <c r="AW532" s="13" t="s">
        <v>36</v>
      </c>
      <c r="AX532" s="13" t="s">
        <v>77</v>
      </c>
      <c r="AY532" s="157" t="s">
        <v>177</v>
      </c>
    </row>
    <row r="533" spans="2:51" s="12" customFormat="1" ht="11.25">
      <c r="B533" s="149"/>
      <c r="D533" s="142" t="s">
        <v>193</v>
      </c>
      <c r="E533" s="150" t="s">
        <v>3</v>
      </c>
      <c r="F533" s="151" t="s">
        <v>2671</v>
      </c>
      <c r="H533" s="152">
        <v>3.37</v>
      </c>
      <c r="I533" s="153"/>
      <c r="L533" s="149"/>
      <c r="M533" s="154"/>
      <c r="T533" s="155"/>
      <c r="AT533" s="150" t="s">
        <v>193</v>
      </c>
      <c r="AU533" s="150" t="s">
        <v>87</v>
      </c>
      <c r="AV533" s="12" t="s">
        <v>87</v>
      </c>
      <c r="AW533" s="12" t="s">
        <v>36</v>
      </c>
      <c r="AX533" s="12" t="s">
        <v>85</v>
      </c>
      <c r="AY533" s="150" t="s">
        <v>177</v>
      </c>
    </row>
    <row r="534" spans="2:65" s="1" customFormat="1" ht="24.2" customHeight="1">
      <c r="B534" s="128"/>
      <c r="C534" s="179" t="s">
        <v>1324</v>
      </c>
      <c r="D534" s="179" t="s">
        <v>484</v>
      </c>
      <c r="E534" s="180" t="s">
        <v>485</v>
      </c>
      <c r="F534" s="181" t="s">
        <v>486</v>
      </c>
      <c r="G534" s="182" t="s">
        <v>183</v>
      </c>
      <c r="H534" s="183">
        <v>0.003</v>
      </c>
      <c r="I534" s="184"/>
      <c r="J534" s="185">
        <f>ROUND(I534*H534,2)</f>
        <v>0</v>
      </c>
      <c r="K534" s="181" t="s">
        <v>184</v>
      </c>
      <c r="L534" s="186"/>
      <c r="M534" s="187" t="s">
        <v>3</v>
      </c>
      <c r="N534" s="188" t="s">
        <v>48</v>
      </c>
      <c r="P534" s="138">
        <f>O534*H534</f>
        <v>0</v>
      </c>
      <c r="Q534" s="138">
        <v>1</v>
      </c>
      <c r="R534" s="138">
        <f>Q534*H534</f>
        <v>0.003</v>
      </c>
      <c r="S534" s="138">
        <v>0</v>
      </c>
      <c r="T534" s="139">
        <f>S534*H534</f>
        <v>0</v>
      </c>
      <c r="AR534" s="140" t="s">
        <v>248</v>
      </c>
      <c r="AT534" s="140" t="s">
        <v>484</v>
      </c>
      <c r="AU534" s="140" t="s">
        <v>87</v>
      </c>
      <c r="AY534" s="18" t="s">
        <v>177</v>
      </c>
      <c r="BE534" s="141">
        <f>IF(N534="základní",J534,0)</f>
        <v>0</v>
      </c>
      <c r="BF534" s="141">
        <f>IF(N534="snížená",J534,0)</f>
        <v>0</v>
      </c>
      <c r="BG534" s="141">
        <f>IF(N534="zákl. přenesená",J534,0)</f>
        <v>0</v>
      </c>
      <c r="BH534" s="141">
        <f>IF(N534="sníž. přenesená",J534,0)</f>
        <v>0</v>
      </c>
      <c r="BI534" s="141">
        <f>IF(N534="nulová",J534,0)</f>
        <v>0</v>
      </c>
      <c r="BJ534" s="18" t="s">
        <v>85</v>
      </c>
      <c r="BK534" s="141">
        <f>ROUND(I534*H534,2)</f>
        <v>0</v>
      </c>
      <c r="BL534" s="18" t="s">
        <v>185</v>
      </c>
      <c r="BM534" s="140" t="s">
        <v>2672</v>
      </c>
    </row>
    <row r="535" spans="2:47" s="1" customFormat="1" ht="19.5">
      <c r="B535" s="33"/>
      <c r="D535" s="142" t="s">
        <v>187</v>
      </c>
      <c r="F535" s="143" t="s">
        <v>488</v>
      </c>
      <c r="I535" s="144"/>
      <c r="L535" s="33"/>
      <c r="M535" s="145"/>
      <c r="T535" s="54"/>
      <c r="AT535" s="18" t="s">
        <v>187</v>
      </c>
      <c r="AU535" s="18" t="s">
        <v>87</v>
      </c>
    </row>
    <row r="536" spans="2:51" s="12" customFormat="1" ht="11.25">
      <c r="B536" s="149"/>
      <c r="D536" s="142" t="s">
        <v>193</v>
      </c>
      <c r="E536" s="150" t="s">
        <v>3</v>
      </c>
      <c r="F536" s="151" t="s">
        <v>2673</v>
      </c>
      <c r="H536" s="152">
        <v>0.003</v>
      </c>
      <c r="I536" s="153"/>
      <c r="L536" s="149"/>
      <c r="M536" s="154"/>
      <c r="T536" s="155"/>
      <c r="AT536" s="150" t="s">
        <v>193</v>
      </c>
      <c r="AU536" s="150" t="s">
        <v>87</v>
      </c>
      <c r="AV536" s="12" t="s">
        <v>87</v>
      </c>
      <c r="AW536" s="12" t="s">
        <v>36</v>
      </c>
      <c r="AX536" s="12" t="s">
        <v>85</v>
      </c>
      <c r="AY536" s="150" t="s">
        <v>177</v>
      </c>
    </row>
    <row r="537" spans="2:65" s="1" customFormat="1" ht="16.5" customHeight="1">
      <c r="B537" s="128"/>
      <c r="C537" s="129" t="s">
        <v>1332</v>
      </c>
      <c r="D537" s="129" t="s">
        <v>180</v>
      </c>
      <c r="E537" s="130" t="s">
        <v>2674</v>
      </c>
      <c r="F537" s="131" t="s">
        <v>2675</v>
      </c>
      <c r="G537" s="132" t="s">
        <v>236</v>
      </c>
      <c r="H537" s="133">
        <v>8</v>
      </c>
      <c r="I537" s="134"/>
      <c r="J537" s="135">
        <f>ROUND(I537*H537,2)</f>
        <v>0</v>
      </c>
      <c r="K537" s="131" t="s">
        <v>244</v>
      </c>
      <c r="L537" s="33"/>
      <c r="M537" s="136" t="s">
        <v>3</v>
      </c>
      <c r="N537" s="137" t="s">
        <v>48</v>
      </c>
      <c r="P537" s="138">
        <f>O537*H537</f>
        <v>0</v>
      </c>
      <c r="Q537" s="138">
        <v>0</v>
      </c>
      <c r="R537" s="138">
        <f>Q537*H537</f>
        <v>0</v>
      </c>
      <c r="S537" s="138">
        <v>0</v>
      </c>
      <c r="T537" s="139">
        <f>S537*H537</f>
        <v>0</v>
      </c>
      <c r="AR537" s="140" t="s">
        <v>185</v>
      </c>
      <c r="AT537" s="140" t="s">
        <v>180</v>
      </c>
      <c r="AU537" s="140" t="s">
        <v>87</v>
      </c>
      <c r="AY537" s="18" t="s">
        <v>177</v>
      </c>
      <c r="BE537" s="141">
        <f>IF(N537="základní",J537,0)</f>
        <v>0</v>
      </c>
      <c r="BF537" s="141">
        <f>IF(N537="snížená",J537,0)</f>
        <v>0</v>
      </c>
      <c r="BG537" s="141">
        <f>IF(N537="zákl. přenesená",J537,0)</f>
        <v>0</v>
      </c>
      <c r="BH537" s="141">
        <f>IF(N537="sníž. přenesená",J537,0)</f>
        <v>0</v>
      </c>
      <c r="BI537" s="141">
        <f>IF(N537="nulová",J537,0)</f>
        <v>0</v>
      </c>
      <c r="BJ537" s="18" t="s">
        <v>85</v>
      </c>
      <c r="BK537" s="141">
        <f>ROUND(I537*H537,2)</f>
        <v>0</v>
      </c>
      <c r="BL537" s="18" t="s">
        <v>185</v>
      </c>
      <c r="BM537" s="140" t="s">
        <v>2676</v>
      </c>
    </row>
    <row r="538" spans="2:47" s="1" customFormat="1" ht="11.25">
      <c r="B538" s="33"/>
      <c r="D538" s="142" t="s">
        <v>187</v>
      </c>
      <c r="F538" s="143" t="s">
        <v>2675</v>
      </c>
      <c r="I538" s="144"/>
      <c r="L538" s="33"/>
      <c r="M538" s="145"/>
      <c r="T538" s="54"/>
      <c r="AT538" s="18" t="s">
        <v>187</v>
      </c>
      <c r="AU538" s="18" t="s">
        <v>87</v>
      </c>
    </row>
    <row r="539" spans="2:65" s="1" customFormat="1" ht="16.5" customHeight="1">
      <c r="B539" s="128"/>
      <c r="C539" s="129" t="s">
        <v>1338</v>
      </c>
      <c r="D539" s="129" t="s">
        <v>180</v>
      </c>
      <c r="E539" s="130" t="s">
        <v>2677</v>
      </c>
      <c r="F539" s="131" t="s">
        <v>2678</v>
      </c>
      <c r="G539" s="132" t="s">
        <v>236</v>
      </c>
      <c r="H539" s="133">
        <v>4</v>
      </c>
      <c r="I539" s="134"/>
      <c r="J539" s="135">
        <f>ROUND(I539*H539,2)</f>
        <v>0</v>
      </c>
      <c r="K539" s="131" t="s">
        <v>244</v>
      </c>
      <c r="L539" s="33"/>
      <c r="M539" s="136" t="s">
        <v>3</v>
      </c>
      <c r="N539" s="137" t="s">
        <v>48</v>
      </c>
      <c r="P539" s="138">
        <f>O539*H539</f>
        <v>0</v>
      </c>
      <c r="Q539" s="138">
        <v>0</v>
      </c>
      <c r="R539" s="138">
        <f>Q539*H539</f>
        <v>0</v>
      </c>
      <c r="S539" s="138">
        <v>0</v>
      </c>
      <c r="T539" s="139">
        <f>S539*H539</f>
        <v>0</v>
      </c>
      <c r="AR539" s="140" t="s">
        <v>185</v>
      </c>
      <c r="AT539" s="140" t="s">
        <v>180</v>
      </c>
      <c r="AU539" s="140" t="s">
        <v>87</v>
      </c>
      <c r="AY539" s="18" t="s">
        <v>177</v>
      </c>
      <c r="BE539" s="141">
        <f>IF(N539="základní",J539,0)</f>
        <v>0</v>
      </c>
      <c r="BF539" s="141">
        <f>IF(N539="snížená",J539,0)</f>
        <v>0</v>
      </c>
      <c r="BG539" s="141">
        <f>IF(N539="zákl. přenesená",J539,0)</f>
        <v>0</v>
      </c>
      <c r="BH539" s="141">
        <f>IF(N539="sníž. přenesená",J539,0)</f>
        <v>0</v>
      </c>
      <c r="BI539" s="141">
        <f>IF(N539="nulová",J539,0)</f>
        <v>0</v>
      </c>
      <c r="BJ539" s="18" t="s">
        <v>85</v>
      </c>
      <c r="BK539" s="141">
        <f>ROUND(I539*H539,2)</f>
        <v>0</v>
      </c>
      <c r="BL539" s="18" t="s">
        <v>185</v>
      </c>
      <c r="BM539" s="140" t="s">
        <v>2679</v>
      </c>
    </row>
    <row r="540" spans="2:47" s="1" customFormat="1" ht="11.25">
      <c r="B540" s="33"/>
      <c r="D540" s="142" t="s">
        <v>187</v>
      </c>
      <c r="F540" s="143" t="s">
        <v>2678</v>
      </c>
      <c r="I540" s="144"/>
      <c r="L540" s="33"/>
      <c r="M540" s="145"/>
      <c r="T540" s="54"/>
      <c r="AT540" s="18" t="s">
        <v>187</v>
      </c>
      <c r="AU540" s="18" t="s">
        <v>87</v>
      </c>
    </row>
    <row r="541" spans="2:63" s="11" customFormat="1" ht="22.9" customHeight="1">
      <c r="B541" s="116"/>
      <c r="D541" s="117" t="s">
        <v>76</v>
      </c>
      <c r="E541" s="126" t="s">
        <v>178</v>
      </c>
      <c r="F541" s="126" t="s">
        <v>179</v>
      </c>
      <c r="I541" s="119"/>
      <c r="J541" s="127">
        <f>BK541</f>
        <v>0</v>
      </c>
      <c r="L541" s="116"/>
      <c r="M541" s="121"/>
      <c r="P541" s="122">
        <f>SUM(P542:P563)</f>
        <v>0</v>
      </c>
      <c r="R541" s="122">
        <f>SUM(R542:R563)</f>
        <v>0</v>
      </c>
      <c r="T541" s="123">
        <f>SUM(T542:T563)</f>
        <v>0</v>
      </c>
      <c r="AR541" s="117" t="s">
        <v>85</v>
      </c>
      <c r="AT541" s="124" t="s">
        <v>76</v>
      </c>
      <c r="AU541" s="124" t="s">
        <v>85</v>
      </c>
      <c r="AY541" s="117" t="s">
        <v>177</v>
      </c>
      <c r="BK541" s="125">
        <f>SUM(BK542:BK563)</f>
        <v>0</v>
      </c>
    </row>
    <row r="542" spans="2:65" s="1" customFormat="1" ht="24.2" customHeight="1">
      <c r="B542" s="128"/>
      <c r="C542" s="129" t="s">
        <v>2680</v>
      </c>
      <c r="D542" s="129" t="s">
        <v>180</v>
      </c>
      <c r="E542" s="130" t="s">
        <v>181</v>
      </c>
      <c r="F542" s="131" t="s">
        <v>182</v>
      </c>
      <c r="G542" s="132" t="s">
        <v>183</v>
      </c>
      <c r="H542" s="133">
        <v>23.386</v>
      </c>
      <c r="I542" s="134"/>
      <c r="J542" s="135">
        <f>ROUND(I542*H542,2)</f>
        <v>0</v>
      </c>
      <c r="K542" s="131" t="s">
        <v>184</v>
      </c>
      <c r="L542" s="33"/>
      <c r="M542" s="136" t="s">
        <v>3</v>
      </c>
      <c r="N542" s="137" t="s">
        <v>48</v>
      </c>
      <c r="P542" s="138">
        <f>O542*H542</f>
        <v>0</v>
      </c>
      <c r="Q542" s="138">
        <v>0</v>
      </c>
      <c r="R542" s="138">
        <f>Q542*H542</f>
        <v>0</v>
      </c>
      <c r="S542" s="138">
        <v>0</v>
      </c>
      <c r="T542" s="139">
        <f>S542*H542</f>
        <v>0</v>
      </c>
      <c r="AR542" s="140" t="s">
        <v>185</v>
      </c>
      <c r="AT542" s="140" t="s">
        <v>180</v>
      </c>
      <c r="AU542" s="140" t="s">
        <v>87</v>
      </c>
      <c r="AY542" s="18" t="s">
        <v>177</v>
      </c>
      <c r="BE542" s="141">
        <f>IF(N542="základní",J542,0)</f>
        <v>0</v>
      </c>
      <c r="BF542" s="141">
        <f>IF(N542="snížená",J542,0)</f>
        <v>0</v>
      </c>
      <c r="BG542" s="141">
        <f>IF(N542="zákl. přenesená",J542,0)</f>
        <v>0</v>
      </c>
      <c r="BH542" s="141">
        <f>IF(N542="sníž. přenesená",J542,0)</f>
        <v>0</v>
      </c>
      <c r="BI542" s="141">
        <f>IF(N542="nulová",J542,0)</f>
        <v>0</v>
      </c>
      <c r="BJ542" s="18" t="s">
        <v>85</v>
      </c>
      <c r="BK542" s="141">
        <f>ROUND(I542*H542,2)</f>
        <v>0</v>
      </c>
      <c r="BL542" s="18" t="s">
        <v>185</v>
      </c>
      <c r="BM542" s="140" t="s">
        <v>2681</v>
      </c>
    </row>
    <row r="543" spans="2:47" s="1" customFormat="1" ht="19.5">
      <c r="B543" s="33"/>
      <c r="D543" s="142" t="s">
        <v>187</v>
      </c>
      <c r="F543" s="143" t="s">
        <v>188</v>
      </c>
      <c r="I543" s="144"/>
      <c r="L543" s="33"/>
      <c r="M543" s="145"/>
      <c r="T543" s="54"/>
      <c r="AT543" s="18" t="s">
        <v>187</v>
      </c>
      <c r="AU543" s="18" t="s">
        <v>87</v>
      </c>
    </row>
    <row r="544" spans="2:47" s="1" customFormat="1" ht="11.25">
      <c r="B544" s="33"/>
      <c r="D544" s="146" t="s">
        <v>189</v>
      </c>
      <c r="F544" s="147" t="s">
        <v>190</v>
      </c>
      <c r="I544" s="144"/>
      <c r="L544" s="33"/>
      <c r="M544" s="145"/>
      <c r="T544" s="54"/>
      <c r="AT544" s="18" t="s">
        <v>189</v>
      </c>
      <c r="AU544" s="18" t="s">
        <v>87</v>
      </c>
    </row>
    <row r="545" spans="2:47" s="1" customFormat="1" ht="146.25">
      <c r="B545" s="33"/>
      <c r="D545" s="142" t="s">
        <v>191</v>
      </c>
      <c r="F545" s="148" t="s">
        <v>192</v>
      </c>
      <c r="I545" s="144"/>
      <c r="L545" s="33"/>
      <c r="M545" s="145"/>
      <c r="T545" s="54"/>
      <c r="AT545" s="18" t="s">
        <v>191</v>
      </c>
      <c r="AU545" s="18" t="s">
        <v>87</v>
      </c>
    </row>
    <row r="546" spans="2:65" s="1" customFormat="1" ht="33" customHeight="1">
      <c r="B546" s="128"/>
      <c r="C546" s="129" t="s">
        <v>2682</v>
      </c>
      <c r="D546" s="129" t="s">
        <v>180</v>
      </c>
      <c r="E546" s="130" t="s">
        <v>202</v>
      </c>
      <c r="F546" s="131" t="s">
        <v>203</v>
      </c>
      <c r="G546" s="132" t="s">
        <v>183</v>
      </c>
      <c r="H546" s="133">
        <v>46.772</v>
      </c>
      <c r="I546" s="134"/>
      <c r="J546" s="135">
        <f>ROUND(I546*H546,2)</f>
        <v>0</v>
      </c>
      <c r="K546" s="131" t="s">
        <v>184</v>
      </c>
      <c r="L546" s="33"/>
      <c r="M546" s="136" t="s">
        <v>3</v>
      </c>
      <c r="N546" s="137" t="s">
        <v>48</v>
      </c>
      <c r="P546" s="138">
        <f>O546*H546</f>
        <v>0</v>
      </c>
      <c r="Q546" s="138">
        <v>0</v>
      </c>
      <c r="R546" s="138">
        <f>Q546*H546</f>
        <v>0</v>
      </c>
      <c r="S546" s="138">
        <v>0</v>
      </c>
      <c r="T546" s="139">
        <f>S546*H546</f>
        <v>0</v>
      </c>
      <c r="AR546" s="140" t="s">
        <v>185</v>
      </c>
      <c r="AT546" s="140" t="s">
        <v>180</v>
      </c>
      <c r="AU546" s="140" t="s">
        <v>87</v>
      </c>
      <c r="AY546" s="18" t="s">
        <v>177</v>
      </c>
      <c r="BE546" s="141">
        <f>IF(N546="základní",J546,0)</f>
        <v>0</v>
      </c>
      <c r="BF546" s="141">
        <f>IF(N546="snížená",J546,0)</f>
        <v>0</v>
      </c>
      <c r="BG546" s="141">
        <f>IF(N546="zákl. přenesená",J546,0)</f>
        <v>0</v>
      </c>
      <c r="BH546" s="141">
        <f>IF(N546="sníž. přenesená",J546,0)</f>
        <v>0</v>
      </c>
      <c r="BI546" s="141">
        <f>IF(N546="nulová",J546,0)</f>
        <v>0</v>
      </c>
      <c r="BJ546" s="18" t="s">
        <v>85</v>
      </c>
      <c r="BK546" s="141">
        <f>ROUND(I546*H546,2)</f>
        <v>0</v>
      </c>
      <c r="BL546" s="18" t="s">
        <v>185</v>
      </c>
      <c r="BM546" s="140" t="s">
        <v>2683</v>
      </c>
    </row>
    <row r="547" spans="2:47" s="1" customFormat="1" ht="39">
      <c r="B547" s="33"/>
      <c r="D547" s="142" t="s">
        <v>187</v>
      </c>
      <c r="F547" s="143" t="s">
        <v>205</v>
      </c>
      <c r="I547" s="144"/>
      <c r="L547" s="33"/>
      <c r="M547" s="145"/>
      <c r="T547" s="54"/>
      <c r="AT547" s="18" t="s">
        <v>187</v>
      </c>
      <c r="AU547" s="18" t="s">
        <v>87</v>
      </c>
    </row>
    <row r="548" spans="2:47" s="1" customFormat="1" ht="11.25">
      <c r="B548" s="33"/>
      <c r="D548" s="146" t="s">
        <v>189</v>
      </c>
      <c r="F548" s="147" t="s">
        <v>206</v>
      </c>
      <c r="I548" s="144"/>
      <c r="L548" s="33"/>
      <c r="M548" s="145"/>
      <c r="T548" s="54"/>
      <c r="AT548" s="18" t="s">
        <v>189</v>
      </c>
      <c r="AU548" s="18" t="s">
        <v>87</v>
      </c>
    </row>
    <row r="549" spans="2:47" s="1" customFormat="1" ht="146.25">
      <c r="B549" s="33"/>
      <c r="D549" s="142" t="s">
        <v>191</v>
      </c>
      <c r="F549" s="148" t="s">
        <v>192</v>
      </c>
      <c r="I549" s="144"/>
      <c r="L549" s="33"/>
      <c r="M549" s="145"/>
      <c r="T549" s="54"/>
      <c r="AT549" s="18" t="s">
        <v>191</v>
      </c>
      <c r="AU549" s="18" t="s">
        <v>87</v>
      </c>
    </row>
    <row r="550" spans="2:51" s="12" customFormat="1" ht="11.25">
      <c r="B550" s="149"/>
      <c r="D550" s="142" t="s">
        <v>193</v>
      </c>
      <c r="F550" s="151" t="s">
        <v>2684</v>
      </c>
      <c r="H550" s="152">
        <v>46.772</v>
      </c>
      <c r="I550" s="153"/>
      <c r="L550" s="149"/>
      <c r="M550" s="154"/>
      <c r="T550" s="155"/>
      <c r="AT550" s="150" t="s">
        <v>193</v>
      </c>
      <c r="AU550" s="150" t="s">
        <v>87</v>
      </c>
      <c r="AV550" s="12" t="s">
        <v>87</v>
      </c>
      <c r="AW550" s="12" t="s">
        <v>4</v>
      </c>
      <c r="AX550" s="12" t="s">
        <v>85</v>
      </c>
      <c r="AY550" s="150" t="s">
        <v>177</v>
      </c>
    </row>
    <row r="551" spans="2:65" s="1" customFormat="1" ht="24.2" customHeight="1">
      <c r="B551" s="128"/>
      <c r="C551" s="129" t="s">
        <v>2685</v>
      </c>
      <c r="D551" s="129" t="s">
        <v>180</v>
      </c>
      <c r="E551" s="130" t="s">
        <v>208</v>
      </c>
      <c r="F551" s="131" t="s">
        <v>209</v>
      </c>
      <c r="G551" s="132" t="s">
        <v>183</v>
      </c>
      <c r="H551" s="133">
        <v>23.386</v>
      </c>
      <c r="I551" s="134"/>
      <c r="J551" s="135">
        <f>ROUND(I551*H551,2)</f>
        <v>0</v>
      </c>
      <c r="K551" s="131" t="s">
        <v>184</v>
      </c>
      <c r="L551" s="33"/>
      <c r="M551" s="136" t="s">
        <v>3</v>
      </c>
      <c r="N551" s="137" t="s">
        <v>48</v>
      </c>
      <c r="P551" s="138">
        <f>O551*H551</f>
        <v>0</v>
      </c>
      <c r="Q551" s="138">
        <v>0</v>
      </c>
      <c r="R551" s="138">
        <f>Q551*H551</f>
        <v>0</v>
      </c>
      <c r="S551" s="138">
        <v>0</v>
      </c>
      <c r="T551" s="139">
        <f>S551*H551</f>
        <v>0</v>
      </c>
      <c r="AR551" s="140" t="s">
        <v>185</v>
      </c>
      <c r="AT551" s="140" t="s">
        <v>180</v>
      </c>
      <c r="AU551" s="140" t="s">
        <v>87</v>
      </c>
      <c r="AY551" s="18" t="s">
        <v>177</v>
      </c>
      <c r="BE551" s="141">
        <f>IF(N551="základní",J551,0)</f>
        <v>0</v>
      </c>
      <c r="BF551" s="141">
        <f>IF(N551="snížená",J551,0)</f>
        <v>0</v>
      </c>
      <c r="BG551" s="141">
        <f>IF(N551="zákl. přenesená",J551,0)</f>
        <v>0</v>
      </c>
      <c r="BH551" s="141">
        <f>IF(N551="sníž. přenesená",J551,0)</f>
        <v>0</v>
      </c>
      <c r="BI551" s="141">
        <f>IF(N551="nulová",J551,0)</f>
        <v>0</v>
      </c>
      <c r="BJ551" s="18" t="s">
        <v>85</v>
      </c>
      <c r="BK551" s="141">
        <f>ROUND(I551*H551,2)</f>
        <v>0</v>
      </c>
      <c r="BL551" s="18" t="s">
        <v>185</v>
      </c>
      <c r="BM551" s="140" t="s">
        <v>2686</v>
      </c>
    </row>
    <row r="552" spans="2:47" s="1" customFormat="1" ht="19.5">
      <c r="B552" s="33"/>
      <c r="D552" s="142" t="s">
        <v>187</v>
      </c>
      <c r="F552" s="143" t="s">
        <v>211</v>
      </c>
      <c r="I552" s="144"/>
      <c r="L552" s="33"/>
      <c r="M552" s="145"/>
      <c r="T552" s="54"/>
      <c r="AT552" s="18" t="s">
        <v>187</v>
      </c>
      <c r="AU552" s="18" t="s">
        <v>87</v>
      </c>
    </row>
    <row r="553" spans="2:47" s="1" customFormat="1" ht="11.25">
      <c r="B553" s="33"/>
      <c r="D553" s="146" t="s">
        <v>189</v>
      </c>
      <c r="F553" s="147" t="s">
        <v>212</v>
      </c>
      <c r="I553" s="144"/>
      <c r="L553" s="33"/>
      <c r="M553" s="145"/>
      <c r="T553" s="54"/>
      <c r="AT553" s="18" t="s">
        <v>189</v>
      </c>
      <c r="AU553" s="18" t="s">
        <v>87</v>
      </c>
    </row>
    <row r="554" spans="2:47" s="1" customFormat="1" ht="97.5">
      <c r="B554" s="33"/>
      <c r="D554" s="142" t="s">
        <v>191</v>
      </c>
      <c r="F554" s="148" t="s">
        <v>213</v>
      </c>
      <c r="I554" s="144"/>
      <c r="L554" s="33"/>
      <c r="M554" s="145"/>
      <c r="T554" s="54"/>
      <c r="AT554" s="18" t="s">
        <v>191</v>
      </c>
      <c r="AU554" s="18" t="s">
        <v>87</v>
      </c>
    </row>
    <row r="555" spans="2:65" s="1" customFormat="1" ht="24.2" customHeight="1">
      <c r="B555" s="128"/>
      <c r="C555" s="129" t="s">
        <v>2687</v>
      </c>
      <c r="D555" s="129" t="s">
        <v>180</v>
      </c>
      <c r="E555" s="130" t="s">
        <v>214</v>
      </c>
      <c r="F555" s="131" t="s">
        <v>215</v>
      </c>
      <c r="G555" s="132" t="s">
        <v>183</v>
      </c>
      <c r="H555" s="133">
        <v>444.334</v>
      </c>
      <c r="I555" s="134"/>
      <c r="J555" s="135">
        <f>ROUND(I555*H555,2)</f>
        <v>0</v>
      </c>
      <c r="K555" s="131" t="s">
        <v>184</v>
      </c>
      <c r="L555" s="33"/>
      <c r="M555" s="136" t="s">
        <v>3</v>
      </c>
      <c r="N555" s="137" t="s">
        <v>48</v>
      </c>
      <c r="P555" s="138">
        <f>O555*H555</f>
        <v>0</v>
      </c>
      <c r="Q555" s="138">
        <v>0</v>
      </c>
      <c r="R555" s="138">
        <f>Q555*H555</f>
        <v>0</v>
      </c>
      <c r="S555" s="138">
        <v>0</v>
      </c>
      <c r="T555" s="139">
        <f>S555*H555</f>
        <v>0</v>
      </c>
      <c r="AR555" s="140" t="s">
        <v>185</v>
      </c>
      <c r="AT555" s="140" t="s">
        <v>180</v>
      </c>
      <c r="AU555" s="140" t="s">
        <v>87</v>
      </c>
      <c r="AY555" s="18" t="s">
        <v>177</v>
      </c>
      <c r="BE555" s="141">
        <f>IF(N555="základní",J555,0)</f>
        <v>0</v>
      </c>
      <c r="BF555" s="141">
        <f>IF(N555="snížená",J555,0)</f>
        <v>0</v>
      </c>
      <c r="BG555" s="141">
        <f>IF(N555="zákl. přenesená",J555,0)</f>
        <v>0</v>
      </c>
      <c r="BH555" s="141">
        <f>IF(N555="sníž. přenesená",J555,0)</f>
        <v>0</v>
      </c>
      <c r="BI555" s="141">
        <f>IF(N555="nulová",J555,0)</f>
        <v>0</v>
      </c>
      <c r="BJ555" s="18" t="s">
        <v>85</v>
      </c>
      <c r="BK555" s="141">
        <f>ROUND(I555*H555,2)</f>
        <v>0</v>
      </c>
      <c r="BL555" s="18" t="s">
        <v>185</v>
      </c>
      <c r="BM555" s="140" t="s">
        <v>2688</v>
      </c>
    </row>
    <row r="556" spans="2:47" s="1" customFormat="1" ht="29.25">
      <c r="B556" s="33"/>
      <c r="D556" s="142" t="s">
        <v>187</v>
      </c>
      <c r="F556" s="143" t="s">
        <v>217</v>
      </c>
      <c r="I556" s="144"/>
      <c r="L556" s="33"/>
      <c r="M556" s="145"/>
      <c r="T556" s="54"/>
      <c r="AT556" s="18" t="s">
        <v>187</v>
      </c>
      <c r="AU556" s="18" t="s">
        <v>87</v>
      </c>
    </row>
    <row r="557" spans="2:47" s="1" customFormat="1" ht="11.25">
      <c r="B557" s="33"/>
      <c r="D557" s="146" t="s">
        <v>189</v>
      </c>
      <c r="F557" s="147" t="s">
        <v>218</v>
      </c>
      <c r="I557" s="144"/>
      <c r="L557" s="33"/>
      <c r="M557" s="145"/>
      <c r="T557" s="54"/>
      <c r="AT557" s="18" t="s">
        <v>189</v>
      </c>
      <c r="AU557" s="18" t="s">
        <v>87</v>
      </c>
    </row>
    <row r="558" spans="2:47" s="1" customFormat="1" ht="97.5">
      <c r="B558" s="33"/>
      <c r="D558" s="142" t="s">
        <v>191</v>
      </c>
      <c r="F558" s="148" t="s">
        <v>213</v>
      </c>
      <c r="I558" s="144"/>
      <c r="L558" s="33"/>
      <c r="M558" s="145"/>
      <c r="T558" s="54"/>
      <c r="AT558" s="18" t="s">
        <v>191</v>
      </c>
      <c r="AU558" s="18" t="s">
        <v>87</v>
      </c>
    </row>
    <row r="559" spans="2:51" s="12" customFormat="1" ht="11.25">
      <c r="B559" s="149"/>
      <c r="D559" s="142" t="s">
        <v>193</v>
      </c>
      <c r="F559" s="151" t="s">
        <v>2689</v>
      </c>
      <c r="H559" s="152">
        <v>444.334</v>
      </c>
      <c r="I559" s="153"/>
      <c r="L559" s="149"/>
      <c r="M559" s="154"/>
      <c r="T559" s="155"/>
      <c r="AT559" s="150" t="s">
        <v>193</v>
      </c>
      <c r="AU559" s="150" t="s">
        <v>87</v>
      </c>
      <c r="AV559" s="12" t="s">
        <v>87</v>
      </c>
      <c r="AW559" s="12" t="s">
        <v>4</v>
      </c>
      <c r="AX559" s="12" t="s">
        <v>85</v>
      </c>
      <c r="AY559" s="150" t="s">
        <v>177</v>
      </c>
    </row>
    <row r="560" spans="2:65" s="1" customFormat="1" ht="44.25" customHeight="1">
      <c r="B560" s="128"/>
      <c r="C560" s="129" t="s">
        <v>2690</v>
      </c>
      <c r="D560" s="129" t="s">
        <v>180</v>
      </c>
      <c r="E560" s="130" t="s">
        <v>223</v>
      </c>
      <c r="F560" s="131" t="s">
        <v>224</v>
      </c>
      <c r="G560" s="132" t="s">
        <v>183</v>
      </c>
      <c r="H560" s="133">
        <v>23.386</v>
      </c>
      <c r="I560" s="134"/>
      <c r="J560" s="135">
        <f>ROUND(I560*H560,2)</f>
        <v>0</v>
      </c>
      <c r="K560" s="131" t="s">
        <v>184</v>
      </c>
      <c r="L560" s="33"/>
      <c r="M560" s="136" t="s">
        <v>3</v>
      </c>
      <c r="N560" s="137" t="s">
        <v>48</v>
      </c>
      <c r="P560" s="138">
        <f>O560*H560</f>
        <v>0</v>
      </c>
      <c r="Q560" s="138">
        <v>0</v>
      </c>
      <c r="R560" s="138">
        <f>Q560*H560</f>
        <v>0</v>
      </c>
      <c r="S560" s="138">
        <v>0</v>
      </c>
      <c r="T560" s="139">
        <f>S560*H560</f>
        <v>0</v>
      </c>
      <c r="AR560" s="140" t="s">
        <v>185</v>
      </c>
      <c r="AT560" s="140" t="s">
        <v>180</v>
      </c>
      <c r="AU560" s="140" t="s">
        <v>87</v>
      </c>
      <c r="AY560" s="18" t="s">
        <v>177</v>
      </c>
      <c r="BE560" s="141">
        <f>IF(N560="základní",J560,0)</f>
        <v>0</v>
      </c>
      <c r="BF560" s="141">
        <f>IF(N560="snížená",J560,0)</f>
        <v>0</v>
      </c>
      <c r="BG560" s="141">
        <f>IF(N560="zákl. přenesená",J560,0)</f>
        <v>0</v>
      </c>
      <c r="BH560" s="141">
        <f>IF(N560="sníž. přenesená",J560,0)</f>
        <v>0</v>
      </c>
      <c r="BI560" s="141">
        <f>IF(N560="nulová",J560,0)</f>
        <v>0</v>
      </c>
      <c r="BJ560" s="18" t="s">
        <v>85</v>
      </c>
      <c r="BK560" s="141">
        <f>ROUND(I560*H560,2)</f>
        <v>0</v>
      </c>
      <c r="BL560" s="18" t="s">
        <v>185</v>
      </c>
      <c r="BM560" s="140" t="s">
        <v>2691</v>
      </c>
    </row>
    <row r="561" spans="2:47" s="1" customFormat="1" ht="29.25">
      <c r="B561" s="33"/>
      <c r="D561" s="142" t="s">
        <v>187</v>
      </c>
      <c r="F561" s="143" t="s">
        <v>226</v>
      </c>
      <c r="I561" s="144"/>
      <c r="L561" s="33"/>
      <c r="M561" s="145"/>
      <c r="T561" s="54"/>
      <c r="AT561" s="18" t="s">
        <v>187</v>
      </c>
      <c r="AU561" s="18" t="s">
        <v>87</v>
      </c>
    </row>
    <row r="562" spans="2:47" s="1" customFormat="1" ht="11.25">
      <c r="B562" s="33"/>
      <c r="D562" s="146" t="s">
        <v>189</v>
      </c>
      <c r="F562" s="147" t="s">
        <v>227</v>
      </c>
      <c r="I562" s="144"/>
      <c r="L562" s="33"/>
      <c r="M562" s="145"/>
      <c r="T562" s="54"/>
      <c r="AT562" s="18" t="s">
        <v>189</v>
      </c>
      <c r="AU562" s="18" t="s">
        <v>87</v>
      </c>
    </row>
    <row r="563" spans="2:47" s="1" customFormat="1" ht="58.5">
      <c r="B563" s="33"/>
      <c r="D563" s="142" t="s">
        <v>191</v>
      </c>
      <c r="F563" s="148" t="s">
        <v>228</v>
      </c>
      <c r="I563" s="144"/>
      <c r="L563" s="33"/>
      <c r="M563" s="145"/>
      <c r="T563" s="54"/>
      <c r="AT563" s="18" t="s">
        <v>191</v>
      </c>
      <c r="AU563" s="18" t="s">
        <v>87</v>
      </c>
    </row>
    <row r="564" spans="2:63" s="11" customFormat="1" ht="22.9" customHeight="1">
      <c r="B564" s="116"/>
      <c r="D564" s="117" t="s">
        <v>76</v>
      </c>
      <c r="E564" s="126" t="s">
        <v>518</v>
      </c>
      <c r="F564" s="126" t="s">
        <v>519</v>
      </c>
      <c r="I564" s="119"/>
      <c r="J564" s="127">
        <f>BK564</f>
        <v>0</v>
      </c>
      <c r="L564" s="116"/>
      <c r="M564" s="121"/>
      <c r="P564" s="122">
        <f>SUM(P565:P568)</f>
        <v>0</v>
      </c>
      <c r="R564" s="122">
        <f>SUM(R565:R568)</f>
        <v>0</v>
      </c>
      <c r="T564" s="123">
        <f>SUM(T565:T568)</f>
        <v>0</v>
      </c>
      <c r="AR564" s="117" t="s">
        <v>85</v>
      </c>
      <c r="AT564" s="124" t="s">
        <v>76</v>
      </c>
      <c r="AU564" s="124" t="s">
        <v>85</v>
      </c>
      <c r="AY564" s="117" t="s">
        <v>177</v>
      </c>
      <c r="BK564" s="125">
        <f>SUM(BK565:BK568)</f>
        <v>0</v>
      </c>
    </row>
    <row r="565" spans="2:65" s="1" customFormat="1" ht="21.75" customHeight="1">
      <c r="B565" s="128"/>
      <c r="C565" s="129" t="s">
        <v>2692</v>
      </c>
      <c r="D565" s="129" t="s">
        <v>180</v>
      </c>
      <c r="E565" s="130" t="s">
        <v>521</v>
      </c>
      <c r="F565" s="131" t="s">
        <v>522</v>
      </c>
      <c r="G565" s="132" t="s">
        <v>183</v>
      </c>
      <c r="H565" s="133">
        <v>38.033</v>
      </c>
      <c r="I565" s="134"/>
      <c r="J565" s="135">
        <f>ROUND(I565*H565,2)</f>
        <v>0</v>
      </c>
      <c r="K565" s="131" t="s">
        <v>184</v>
      </c>
      <c r="L565" s="33"/>
      <c r="M565" s="136" t="s">
        <v>3</v>
      </c>
      <c r="N565" s="137" t="s">
        <v>48</v>
      </c>
      <c r="P565" s="138">
        <f>O565*H565</f>
        <v>0</v>
      </c>
      <c r="Q565" s="138">
        <v>0</v>
      </c>
      <c r="R565" s="138">
        <f>Q565*H565</f>
        <v>0</v>
      </c>
      <c r="S565" s="138">
        <v>0</v>
      </c>
      <c r="T565" s="139">
        <f>S565*H565</f>
        <v>0</v>
      </c>
      <c r="AR565" s="140" t="s">
        <v>185</v>
      </c>
      <c r="AT565" s="140" t="s">
        <v>180</v>
      </c>
      <c r="AU565" s="140" t="s">
        <v>87</v>
      </c>
      <c r="AY565" s="18" t="s">
        <v>177</v>
      </c>
      <c r="BE565" s="141">
        <f>IF(N565="základní",J565,0)</f>
        <v>0</v>
      </c>
      <c r="BF565" s="141">
        <f>IF(N565="snížená",J565,0)</f>
        <v>0</v>
      </c>
      <c r="BG565" s="141">
        <f>IF(N565="zákl. přenesená",J565,0)</f>
        <v>0</v>
      </c>
      <c r="BH565" s="141">
        <f>IF(N565="sníž. přenesená",J565,0)</f>
        <v>0</v>
      </c>
      <c r="BI565" s="141">
        <f>IF(N565="nulová",J565,0)</f>
        <v>0</v>
      </c>
      <c r="BJ565" s="18" t="s">
        <v>85</v>
      </c>
      <c r="BK565" s="141">
        <f>ROUND(I565*H565,2)</f>
        <v>0</v>
      </c>
      <c r="BL565" s="18" t="s">
        <v>185</v>
      </c>
      <c r="BM565" s="140" t="s">
        <v>2693</v>
      </c>
    </row>
    <row r="566" spans="2:47" s="1" customFormat="1" ht="39">
      <c r="B566" s="33"/>
      <c r="D566" s="142" t="s">
        <v>187</v>
      </c>
      <c r="F566" s="143" t="s">
        <v>524</v>
      </c>
      <c r="I566" s="144"/>
      <c r="L566" s="33"/>
      <c r="M566" s="145"/>
      <c r="T566" s="54"/>
      <c r="AT566" s="18" t="s">
        <v>187</v>
      </c>
      <c r="AU566" s="18" t="s">
        <v>87</v>
      </c>
    </row>
    <row r="567" spans="2:47" s="1" customFormat="1" ht="11.25">
      <c r="B567" s="33"/>
      <c r="D567" s="146" t="s">
        <v>189</v>
      </c>
      <c r="F567" s="147" t="s">
        <v>525</v>
      </c>
      <c r="I567" s="144"/>
      <c r="L567" s="33"/>
      <c r="M567" s="145"/>
      <c r="T567" s="54"/>
      <c r="AT567" s="18" t="s">
        <v>189</v>
      </c>
      <c r="AU567" s="18" t="s">
        <v>87</v>
      </c>
    </row>
    <row r="568" spans="2:47" s="1" customFormat="1" ht="87.75">
      <c r="B568" s="33"/>
      <c r="D568" s="142" t="s">
        <v>191</v>
      </c>
      <c r="F568" s="148" t="s">
        <v>526</v>
      </c>
      <c r="I568" s="144"/>
      <c r="L568" s="33"/>
      <c r="M568" s="145"/>
      <c r="T568" s="54"/>
      <c r="AT568" s="18" t="s">
        <v>191</v>
      </c>
      <c r="AU568" s="18" t="s">
        <v>87</v>
      </c>
    </row>
    <row r="569" spans="2:63" s="11" customFormat="1" ht="25.9" customHeight="1">
      <c r="B569" s="116"/>
      <c r="D569" s="117" t="s">
        <v>76</v>
      </c>
      <c r="E569" s="118" t="s">
        <v>229</v>
      </c>
      <c r="F569" s="118" t="s">
        <v>230</v>
      </c>
      <c r="I569" s="119"/>
      <c r="J569" s="120">
        <f>BK569</f>
        <v>0</v>
      </c>
      <c r="L569" s="116"/>
      <c r="M569" s="121"/>
      <c r="P569" s="122">
        <f>P570+P588+P658+P702+P714+P728+P762+P818</f>
        <v>0</v>
      </c>
      <c r="R569" s="122">
        <f>R570+R588+R658+R702+R714+R728+R762+R818</f>
        <v>13.239749906312001</v>
      </c>
      <c r="T569" s="123">
        <f>T570+T588+T658+T702+T714+T728+T762+T818</f>
        <v>0</v>
      </c>
      <c r="AR569" s="117" t="s">
        <v>87</v>
      </c>
      <c r="AT569" s="124" t="s">
        <v>76</v>
      </c>
      <c r="AU569" s="124" t="s">
        <v>77</v>
      </c>
      <c r="AY569" s="117" t="s">
        <v>177</v>
      </c>
      <c r="BK569" s="125">
        <f>BK570+BK588+BK658+BK702+BK714+BK728+BK762+BK818</f>
        <v>0</v>
      </c>
    </row>
    <row r="570" spans="2:63" s="11" customFormat="1" ht="22.9" customHeight="1">
      <c r="B570" s="116"/>
      <c r="D570" s="117" t="s">
        <v>76</v>
      </c>
      <c r="E570" s="126" t="s">
        <v>712</v>
      </c>
      <c r="F570" s="126" t="s">
        <v>713</v>
      </c>
      <c r="I570" s="119"/>
      <c r="J570" s="127">
        <f>BK570</f>
        <v>0</v>
      </c>
      <c r="L570" s="116"/>
      <c r="M570" s="121"/>
      <c r="P570" s="122">
        <f>SUM(P571:P587)</f>
        <v>0</v>
      </c>
      <c r="R570" s="122">
        <f>SUM(R571:R587)</f>
        <v>0.0453</v>
      </c>
      <c r="T570" s="123">
        <f>SUM(T571:T587)</f>
        <v>0</v>
      </c>
      <c r="AR570" s="117" t="s">
        <v>87</v>
      </c>
      <c r="AT570" s="124" t="s">
        <v>76</v>
      </c>
      <c r="AU570" s="124" t="s">
        <v>85</v>
      </c>
      <c r="AY570" s="117" t="s">
        <v>177</v>
      </c>
      <c r="BK570" s="125">
        <f>SUM(BK571:BK587)</f>
        <v>0</v>
      </c>
    </row>
    <row r="571" spans="2:65" s="1" customFormat="1" ht="33" customHeight="1">
      <c r="B571" s="128"/>
      <c r="C571" s="129" t="s">
        <v>2694</v>
      </c>
      <c r="D571" s="129" t="s">
        <v>180</v>
      </c>
      <c r="E571" s="130" t="s">
        <v>2695</v>
      </c>
      <c r="F571" s="131" t="s">
        <v>2696</v>
      </c>
      <c r="G571" s="132" t="s">
        <v>332</v>
      </c>
      <c r="H571" s="133">
        <v>15.1</v>
      </c>
      <c r="I571" s="134"/>
      <c r="J571" s="135">
        <f>ROUND(I571*H571,2)</f>
        <v>0</v>
      </c>
      <c r="K571" s="131" t="s">
        <v>184</v>
      </c>
      <c r="L571" s="33"/>
      <c r="M571" s="136" t="s">
        <v>3</v>
      </c>
      <c r="N571" s="137" t="s">
        <v>48</v>
      </c>
      <c r="P571" s="138">
        <f>O571*H571</f>
        <v>0</v>
      </c>
      <c r="Q571" s="138">
        <v>0</v>
      </c>
      <c r="R571" s="138">
        <f>Q571*H571</f>
        <v>0</v>
      </c>
      <c r="S571" s="138">
        <v>0</v>
      </c>
      <c r="T571" s="139">
        <f>S571*H571</f>
        <v>0</v>
      </c>
      <c r="AR571" s="140" t="s">
        <v>237</v>
      </c>
      <c r="AT571" s="140" t="s">
        <v>180</v>
      </c>
      <c r="AU571" s="140" t="s">
        <v>87</v>
      </c>
      <c r="AY571" s="18" t="s">
        <v>177</v>
      </c>
      <c r="BE571" s="141">
        <f>IF(N571="základní",J571,0)</f>
        <v>0</v>
      </c>
      <c r="BF571" s="141">
        <f>IF(N571="snížená",J571,0)</f>
        <v>0</v>
      </c>
      <c r="BG571" s="141">
        <f>IF(N571="zákl. přenesená",J571,0)</f>
        <v>0</v>
      </c>
      <c r="BH571" s="141">
        <f>IF(N571="sníž. přenesená",J571,0)</f>
        <v>0</v>
      </c>
      <c r="BI571" s="141">
        <f>IF(N571="nulová",J571,0)</f>
        <v>0</v>
      </c>
      <c r="BJ571" s="18" t="s">
        <v>85</v>
      </c>
      <c r="BK571" s="141">
        <f>ROUND(I571*H571,2)</f>
        <v>0</v>
      </c>
      <c r="BL571" s="18" t="s">
        <v>237</v>
      </c>
      <c r="BM571" s="140" t="s">
        <v>2697</v>
      </c>
    </row>
    <row r="572" spans="2:47" s="1" customFormat="1" ht="19.5">
      <c r="B572" s="33"/>
      <c r="D572" s="142" t="s">
        <v>187</v>
      </c>
      <c r="F572" s="143" t="s">
        <v>2698</v>
      </c>
      <c r="I572" s="144"/>
      <c r="L572" s="33"/>
      <c r="M572" s="145"/>
      <c r="T572" s="54"/>
      <c r="AT572" s="18" t="s">
        <v>187</v>
      </c>
      <c r="AU572" s="18" t="s">
        <v>87</v>
      </c>
    </row>
    <row r="573" spans="2:47" s="1" customFormat="1" ht="11.25">
      <c r="B573" s="33"/>
      <c r="D573" s="146" t="s">
        <v>189</v>
      </c>
      <c r="F573" s="147" t="s">
        <v>2699</v>
      </c>
      <c r="I573" s="144"/>
      <c r="L573" s="33"/>
      <c r="M573" s="145"/>
      <c r="T573" s="54"/>
      <c r="AT573" s="18" t="s">
        <v>189</v>
      </c>
      <c r="AU573" s="18" t="s">
        <v>87</v>
      </c>
    </row>
    <row r="574" spans="2:47" s="1" customFormat="1" ht="39">
      <c r="B574" s="33"/>
      <c r="D574" s="142" t="s">
        <v>191</v>
      </c>
      <c r="F574" s="148" t="s">
        <v>2700</v>
      </c>
      <c r="I574" s="144"/>
      <c r="L574" s="33"/>
      <c r="M574" s="145"/>
      <c r="T574" s="54"/>
      <c r="AT574" s="18" t="s">
        <v>191</v>
      </c>
      <c r="AU574" s="18" t="s">
        <v>87</v>
      </c>
    </row>
    <row r="575" spans="2:51" s="13" customFormat="1" ht="11.25">
      <c r="B575" s="156"/>
      <c r="D575" s="142" t="s">
        <v>193</v>
      </c>
      <c r="E575" s="157" t="s">
        <v>3</v>
      </c>
      <c r="F575" s="158" t="s">
        <v>2578</v>
      </c>
      <c r="H575" s="157" t="s">
        <v>3</v>
      </c>
      <c r="I575" s="159"/>
      <c r="L575" s="156"/>
      <c r="M575" s="160"/>
      <c r="T575" s="161"/>
      <c r="AT575" s="157" t="s">
        <v>193</v>
      </c>
      <c r="AU575" s="157" t="s">
        <v>87</v>
      </c>
      <c r="AV575" s="13" t="s">
        <v>85</v>
      </c>
      <c r="AW575" s="13" t="s">
        <v>36</v>
      </c>
      <c r="AX575" s="13" t="s">
        <v>77</v>
      </c>
      <c r="AY575" s="157" t="s">
        <v>177</v>
      </c>
    </row>
    <row r="576" spans="2:51" s="12" customFormat="1" ht="11.25">
      <c r="B576" s="149"/>
      <c r="D576" s="142" t="s">
        <v>193</v>
      </c>
      <c r="E576" s="150" t="s">
        <v>3</v>
      </c>
      <c r="F576" s="151" t="s">
        <v>2579</v>
      </c>
      <c r="H576" s="152">
        <v>15.1</v>
      </c>
      <c r="I576" s="153"/>
      <c r="L576" s="149"/>
      <c r="M576" s="154"/>
      <c r="T576" s="155"/>
      <c r="AT576" s="150" t="s">
        <v>193</v>
      </c>
      <c r="AU576" s="150" t="s">
        <v>87</v>
      </c>
      <c r="AV576" s="12" t="s">
        <v>87</v>
      </c>
      <c r="AW576" s="12" t="s">
        <v>36</v>
      </c>
      <c r="AX576" s="12" t="s">
        <v>85</v>
      </c>
      <c r="AY576" s="150" t="s">
        <v>177</v>
      </c>
    </row>
    <row r="577" spans="2:65" s="1" customFormat="1" ht="24.2" customHeight="1">
      <c r="B577" s="128"/>
      <c r="C577" s="179" t="s">
        <v>2701</v>
      </c>
      <c r="D577" s="179" t="s">
        <v>484</v>
      </c>
      <c r="E577" s="180" t="s">
        <v>2702</v>
      </c>
      <c r="F577" s="181" t="s">
        <v>2703</v>
      </c>
      <c r="G577" s="182" t="s">
        <v>1628</v>
      </c>
      <c r="H577" s="183">
        <v>45.3</v>
      </c>
      <c r="I577" s="184"/>
      <c r="J577" s="185">
        <f>ROUND(I577*H577,2)</f>
        <v>0</v>
      </c>
      <c r="K577" s="181" t="s">
        <v>184</v>
      </c>
      <c r="L577" s="186"/>
      <c r="M577" s="187" t="s">
        <v>3</v>
      </c>
      <c r="N577" s="188" t="s">
        <v>48</v>
      </c>
      <c r="P577" s="138">
        <f>O577*H577</f>
        <v>0</v>
      </c>
      <c r="Q577" s="138">
        <v>0.001</v>
      </c>
      <c r="R577" s="138">
        <f>Q577*H577</f>
        <v>0.0453</v>
      </c>
      <c r="S577" s="138">
        <v>0</v>
      </c>
      <c r="T577" s="139">
        <f>S577*H577</f>
        <v>0</v>
      </c>
      <c r="AR577" s="140" t="s">
        <v>537</v>
      </c>
      <c r="AT577" s="140" t="s">
        <v>484</v>
      </c>
      <c r="AU577" s="140" t="s">
        <v>87</v>
      </c>
      <c r="AY577" s="18" t="s">
        <v>177</v>
      </c>
      <c r="BE577" s="141">
        <f>IF(N577="základní",J577,0)</f>
        <v>0</v>
      </c>
      <c r="BF577" s="141">
        <f>IF(N577="snížená",J577,0)</f>
        <v>0</v>
      </c>
      <c r="BG577" s="141">
        <f>IF(N577="zákl. přenesená",J577,0)</f>
        <v>0</v>
      </c>
      <c r="BH577" s="141">
        <f>IF(N577="sníž. přenesená",J577,0)</f>
        <v>0</v>
      </c>
      <c r="BI577" s="141">
        <f>IF(N577="nulová",J577,0)</f>
        <v>0</v>
      </c>
      <c r="BJ577" s="18" t="s">
        <v>85</v>
      </c>
      <c r="BK577" s="141">
        <f>ROUND(I577*H577,2)</f>
        <v>0</v>
      </c>
      <c r="BL577" s="18" t="s">
        <v>237</v>
      </c>
      <c r="BM577" s="140" t="s">
        <v>2704</v>
      </c>
    </row>
    <row r="578" spans="2:47" s="1" customFormat="1" ht="19.5">
      <c r="B578" s="33"/>
      <c r="D578" s="142" t="s">
        <v>187</v>
      </c>
      <c r="F578" s="143" t="s">
        <v>2703</v>
      </c>
      <c r="I578" s="144"/>
      <c r="L578" s="33"/>
      <c r="M578" s="145"/>
      <c r="T578" s="54"/>
      <c r="AT578" s="18" t="s">
        <v>187</v>
      </c>
      <c r="AU578" s="18" t="s">
        <v>87</v>
      </c>
    </row>
    <row r="579" spans="2:51" s="12" customFormat="1" ht="11.25">
      <c r="B579" s="149"/>
      <c r="D579" s="142" t="s">
        <v>193</v>
      </c>
      <c r="E579" s="150" t="s">
        <v>3</v>
      </c>
      <c r="F579" s="151" t="s">
        <v>2705</v>
      </c>
      <c r="H579" s="152">
        <v>45.3</v>
      </c>
      <c r="I579" s="153"/>
      <c r="L579" s="149"/>
      <c r="M579" s="154"/>
      <c r="T579" s="155"/>
      <c r="AT579" s="150" t="s">
        <v>193</v>
      </c>
      <c r="AU579" s="150" t="s">
        <v>87</v>
      </c>
      <c r="AV579" s="12" t="s">
        <v>87</v>
      </c>
      <c r="AW579" s="12" t="s">
        <v>36</v>
      </c>
      <c r="AX579" s="12" t="s">
        <v>85</v>
      </c>
      <c r="AY579" s="150" t="s">
        <v>177</v>
      </c>
    </row>
    <row r="580" spans="2:65" s="1" customFormat="1" ht="33" customHeight="1">
      <c r="B580" s="128"/>
      <c r="C580" s="129" t="s">
        <v>2706</v>
      </c>
      <c r="D580" s="129" t="s">
        <v>180</v>
      </c>
      <c r="E580" s="130" t="s">
        <v>757</v>
      </c>
      <c r="F580" s="131" t="s">
        <v>758</v>
      </c>
      <c r="G580" s="132" t="s">
        <v>183</v>
      </c>
      <c r="H580" s="133">
        <v>0.045</v>
      </c>
      <c r="I580" s="134"/>
      <c r="J580" s="135">
        <f>ROUND(I580*H580,2)</f>
        <v>0</v>
      </c>
      <c r="K580" s="131" t="s">
        <v>184</v>
      </c>
      <c r="L580" s="33"/>
      <c r="M580" s="136" t="s">
        <v>3</v>
      </c>
      <c r="N580" s="137" t="s">
        <v>48</v>
      </c>
      <c r="P580" s="138">
        <f>O580*H580</f>
        <v>0</v>
      </c>
      <c r="Q580" s="138">
        <v>0</v>
      </c>
      <c r="R580" s="138">
        <f>Q580*H580</f>
        <v>0</v>
      </c>
      <c r="S580" s="138">
        <v>0</v>
      </c>
      <c r="T580" s="139">
        <f>S580*H580</f>
        <v>0</v>
      </c>
      <c r="AR580" s="140" t="s">
        <v>237</v>
      </c>
      <c r="AT580" s="140" t="s">
        <v>180</v>
      </c>
      <c r="AU580" s="140" t="s">
        <v>87</v>
      </c>
      <c r="AY580" s="18" t="s">
        <v>177</v>
      </c>
      <c r="BE580" s="141">
        <f>IF(N580="základní",J580,0)</f>
        <v>0</v>
      </c>
      <c r="BF580" s="141">
        <f>IF(N580="snížená",J580,0)</f>
        <v>0</v>
      </c>
      <c r="BG580" s="141">
        <f>IF(N580="zákl. přenesená",J580,0)</f>
        <v>0</v>
      </c>
      <c r="BH580" s="141">
        <f>IF(N580="sníž. přenesená",J580,0)</f>
        <v>0</v>
      </c>
      <c r="BI580" s="141">
        <f>IF(N580="nulová",J580,0)</f>
        <v>0</v>
      </c>
      <c r="BJ580" s="18" t="s">
        <v>85</v>
      </c>
      <c r="BK580" s="141">
        <f>ROUND(I580*H580,2)</f>
        <v>0</v>
      </c>
      <c r="BL580" s="18" t="s">
        <v>237</v>
      </c>
      <c r="BM580" s="140" t="s">
        <v>2707</v>
      </c>
    </row>
    <row r="581" spans="2:47" s="1" customFormat="1" ht="29.25">
      <c r="B581" s="33"/>
      <c r="D581" s="142" t="s">
        <v>187</v>
      </c>
      <c r="F581" s="143" t="s">
        <v>760</v>
      </c>
      <c r="I581" s="144"/>
      <c r="L581" s="33"/>
      <c r="M581" s="145"/>
      <c r="T581" s="54"/>
      <c r="AT581" s="18" t="s">
        <v>187</v>
      </c>
      <c r="AU581" s="18" t="s">
        <v>87</v>
      </c>
    </row>
    <row r="582" spans="2:47" s="1" customFormat="1" ht="11.25">
      <c r="B582" s="33"/>
      <c r="D582" s="146" t="s">
        <v>189</v>
      </c>
      <c r="F582" s="147" t="s">
        <v>761</v>
      </c>
      <c r="I582" s="144"/>
      <c r="L582" s="33"/>
      <c r="M582" s="145"/>
      <c r="T582" s="54"/>
      <c r="AT582" s="18" t="s">
        <v>189</v>
      </c>
      <c r="AU582" s="18" t="s">
        <v>87</v>
      </c>
    </row>
    <row r="583" spans="2:47" s="1" customFormat="1" ht="126.75">
      <c r="B583" s="33"/>
      <c r="D583" s="142" t="s">
        <v>191</v>
      </c>
      <c r="F583" s="148" t="s">
        <v>762</v>
      </c>
      <c r="I583" s="144"/>
      <c r="L583" s="33"/>
      <c r="M583" s="145"/>
      <c r="T583" s="54"/>
      <c r="AT583" s="18" t="s">
        <v>191</v>
      </c>
      <c r="AU583" s="18" t="s">
        <v>87</v>
      </c>
    </row>
    <row r="584" spans="2:65" s="1" customFormat="1" ht="24.2" customHeight="1">
      <c r="B584" s="128"/>
      <c r="C584" s="129" t="s">
        <v>2708</v>
      </c>
      <c r="D584" s="129" t="s">
        <v>180</v>
      </c>
      <c r="E584" s="130" t="s">
        <v>764</v>
      </c>
      <c r="F584" s="131" t="s">
        <v>765</v>
      </c>
      <c r="G584" s="132" t="s">
        <v>183</v>
      </c>
      <c r="H584" s="133">
        <v>0.045</v>
      </c>
      <c r="I584" s="134"/>
      <c r="J584" s="135">
        <f>ROUND(I584*H584,2)</f>
        <v>0</v>
      </c>
      <c r="K584" s="131" t="s">
        <v>184</v>
      </c>
      <c r="L584" s="33"/>
      <c r="M584" s="136" t="s">
        <v>3</v>
      </c>
      <c r="N584" s="137" t="s">
        <v>48</v>
      </c>
      <c r="P584" s="138">
        <f>O584*H584</f>
        <v>0</v>
      </c>
      <c r="Q584" s="138">
        <v>0</v>
      </c>
      <c r="R584" s="138">
        <f>Q584*H584</f>
        <v>0</v>
      </c>
      <c r="S584" s="138">
        <v>0</v>
      </c>
      <c r="T584" s="139">
        <f>S584*H584</f>
        <v>0</v>
      </c>
      <c r="AR584" s="140" t="s">
        <v>237</v>
      </c>
      <c r="AT584" s="140" t="s">
        <v>180</v>
      </c>
      <c r="AU584" s="140" t="s">
        <v>87</v>
      </c>
      <c r="AY584" s="18" t="s">
        <v>177</v>
      </c>
      <c r="BE584" s="141">
        <f>IF(N584="základní",J584,0)</f>
        <v>0</v>
      </c>
      <c r="BF584" s="141">
        <f>IF(N584="snížená",J584,0)</f>
        <v>0</v>
      </c>
      <c r="BG584" s="141">
        <f>IF(N584="zákl. přenesená",J584,0)</f>
        <v>0</v>
      </c>
      <c r="BH584" s="141">
        <f>IF(N584="sníž. přenesená",J584,0)</f>
        <v>0</v>
      </c>
      <c r="BI584" s="141">
        <f>IF(N584="nulová",J584,0)</f>
        <v>0</v>
      </c>
      <c r="BJ584" s="18" t="s">
        <v>85</v>
      </c>
      <c r="BK584" s="141">
        <f>ROUND(I584*H584,2)</f>
        <v>0</v>
      </c>
      <c r="BL584" s="18" t="s">
        <v>237</v>
      </c>
      <c r="BM584" s="140" t="s">
        <v>2709</v>
      </c>
    </row>
    <row r="585" spans="2:47" s="1" customFormat="1" ht="29.25">
      <c r="B585" s="33"/>
      <c r="D585" s="142" t="s">
        <v>187</v>
      </c>
      <c r="F585" s="143" t="s">
        <v>767</v>
      </c>
      <c r="I585" s="144"/>
      <c r="L585" s="33"/>
      <c r="M585" s="145"/>
      <c r="T585" s="54"/>
      <c r="AT585" s="18" t="s">
        <v>187</v>
      </c>
      <c r="AU585" s="18" t="s">
        <v>87</v>
      </c>
    </row>
    <row r="586" spans="2:47" s="1" customFormat="1" ht="11.25">
      <c r="B586" s="33"/>
      <c r="D586" s="146" t="s">
        <v>189</v>
      </c>
      <c r="F586" s="147" t="s">
        <v>768</v>
      </c>
      <c r="I586" s="144"/>
      <c r="L586" s="33"/>
      <c r="M586" s="145"/>
      <c r="T586" s="54"/>
      <c r="AT586" s="18" t="s">
        <v>189</v>
      </c>
      <c r="AU586" s="18" t="s">
        <v>87</v>
      </c>
    </row>
    <row r="587" spans="2:47" s="1" customFormat="1" ht="126.75">
      <c r="B587" s="33"/>
      <c r="D587" s="142" t="s">
        <v>191</v>
      </c>
      <c r="F587" s="148" t="s">
        <v>762</v>
      </c>
      <c r="I587" s="144"/>
      <c r="L587" s="33"/>
      <c r="M587" s="145"/>
      <c r="T587" s="54"/>
      <c r="AT587" s="18" t="s">
        <v>191</v>
      </c>
      <c r="AU587" s="18" t="s">
        <v>87</v>
      </c>
    </row>
    <row r="588" spans="2:63" s="11" customFormat="1" ht="22.9" customHeight="1">
      <c r="B588" s="116"/>
      <c r="D588" s="117" t="s">
        <v>76</v>
      </c>
      <c r="E588" s="126" t="s">
        <v>1235</v>
      </c>
      <c r="F588" s="126" t="s">
        <v>1236</v>
      </c>
      <c r="I588" s="119"/>
      <c r="J588" s="127">
        <f>BK588</f>
        <v>0</v>
      </c>
      <c r="L588" s="116"/>
      <c r="M588" s="121"/>
      <c r="P588" s="122">
        <f>SUM(P589:P657)</f>
        <v>0</v>
      </c>
      <c r="R588" s="122">
        <f>SUM(R589:R657)</f>
        <v>6.924895011792</v>
      </c>
      <c r="T588" s="123">
        <f>SUM(T589:T657)</f>
        <v>0</v>
      </c>
      <c r="AR588" s="117" t="s">
        <v>87</v>
      </c>
      <c r="AT588" s="124" t="s">
        <v>76</v>
      </c>
      <c r="AU588" s="124" t="s">
        <v>85</v>
      </c>
      <c r="AY588" s="117" t="s">
        <v>177</v>
      </c>
      <c r="BK588" s="125">
        <f>SUM(BK589:BK657)</f>
        <v>0</v>
      </c>
    </row>
    <row r="589" spans="2:65" s="1" customFormat="1" ht="24.2" customHeight="1">
      <c r="B589" s="128"/>
      <c r="C589" s="129" t="s">
        <v>2710</v>
      </c>
      <c r="D589" s="129" t="s">
        <v>180</v>
      </c>
      <c r="E589" s="130" t="s">
        <v>2711</v>
      </c>
      <c r="F589" s="131" t="s">
        <v>2712</v>
      </c>
      <c r="G589" s="132" t="s">
        <v>332</v>
      </c>
      <c r="H589" s="133">
        <v>436.492</v>
      </c>
      <c r="I589" s="134"/>
      <c r="J589" s="135">
        <f>ROUND(I589*H589,2)</f>
        <v>0</v>
      </c>
      <c r="K589" s="131" t="s">
        <v>184</v>
      </c>
      <c r="L589" s="33"/>
      <c r="M589" s="136" t="s">
        <v>3</v>
      </c>
      <c r="N589" s="137" t="s">
        <v>48</v>
      </c>
      <c r="P589" s="138">
        <f>O589*H589</f>
        <v>0</v>
      </c>
      <c r="Q589" s="138">
        <v>0</v>
      </c>
      <c r="R589" s="138">
        <f>Q589*H589</f>
        <v>0</v>
      </c>
      <c r="S589" s="138">
        <v>0</v>
      </c>
      <c r="T589" s="139">
        <f>S589*H589</f>
        <v>0</v>
      </c>
      <c r="AR589" s="140" t="s">
        <v>237</v>
      </c>
      <c r="AT589" s="140" t="s">
        <v>180</v>
      </c>
      <c r="AU589" s="140" t="s">
        <v>87</v>
      </c>
      <c r="AY589" s="18" t="s">
        <v>177</v>
      </c>
      <c r="BE589" s="141">
        <f>IF(N589="základní",J589,0)</f>
        <v>0</v>
      </c>
      <c r="BF589" s="141">
        <f>IF(N589="snížená",J589,0)</f>
        <v>0</v>
      </c>
      <c r="BG589" s="141">
        <f>IF(N589="zákl. přenesená",J589,0)</f>
        <v>0</v>
      </c>
      <c r="BH589" s="141">
        <f>IF(N589="sníž. přenesená",J589,0)</f>
        <v>0</v>
      </c>
      <c r="BI589" s="141">
        <f>IF(N589="nulová",J589,0)</f>
        <v>0</v>
      </c>
      <c r="BJ589" s="18" t="s">
        <v>85</v>
      </c>
      <c r="BK589" s="141">
        <f>ROUND(I589*H589,2)</f>
        <v>0</v>
      </c>
      <c r="BL589" s="18" t="s">
        <v>237</v>
      </c>
      <c r="BM589" s="140" t="s">
        <v>2713</v>
      </c>
    </row>
    <row r="590" spans="2:47" s="1" customFormat="1" ht="19.5">
      <c r="B590" s="33"/>
      <c r="D590" s="142" t="s">
        <v>187</v>
      </c>
      <c r="F590" s="143" t="s">
        <v>2714</v>
      </c>
      <c r="I590" s="144"/>
      <c r="L590" s="33"/>
      <c r="M590" s="145"/>
      <c r="T590" s="54"/>
      <c r="AT590" s="18" t="s">
        <v>187</v>
      </c>
      <c r="AU590" s="18" t="s">
        <v>87</v>
      </c>
    </row>
    <row r="591" spans="2:47" s="1" customFormat="1" ht="11.25">
      <c r="B591" s="33"/>
      <c r="D591" s="146" t="s">
        <v>189</v>
      </c>
      <c r="F591" s="147" t="s">
        <v>2715</v>
      </c>
      <c r="I591" s="144"/>
      <c r="L591" s="33"/>
      <c r="M591" s="145"/>
      <c r="T591" s="54"/>
      <c r="AT591" s="18" t="s">
        <v>189</v>
      </c>
      <c r="AU591" s="18" t="s">
        <v>87</v>
      </c>
    </row>
    <row r="592" spans="2:47" s="1" customFormat="1" ht="58.5">
      <c r="B592" s="33"/>
      <c r="D592" s="142" t="s">
        <v>191</v>
      </c>
      <c r="F592" s="148" t="s">
        <v>2716</v>
      </c>
      <c r="I592" s="144"/>
      <c r="L592" s="33"/>
      <c r="M592" s="145"/>
      <c r="T592" s="54"/>
      <c r="AT592" s="18" t="s">
        <v>191</v>
      </c>
      <c r="AU592" s="18" t="s">
        <v>87</v>
      </c>
    </row>
    <row r="593" spans="2:51" s="12" customFormat="1" ht="11.25">
      <c r="B593" s="149"/>
      <c r="D593" s="142" t="s">
        <v>193</v>
      </c>
      <c r="E593" s="150" t="s">
        <v>3</v>
      </c>
      <c r="F593" s="151" t="s">
        <v>2717</v>
      </c>
      <c r="H593" s="152">
        <v>332.508</v>
      </c>
      <c r="I593" s="153"/>
      <c r="L593" s="149"/>
      <c r="M593" s="154"/>
      <c r="T593" s="155"/>
      <c r="AT593" s="150" t="s">
        <v>193</v>
      </c>
      <c r="AU593" s="150" t="s">
        <v>87</v>
      </c>
      <c r="AV593" s="12" t="s">
        <v>87</v>
      </c>
      <c r="AW593" s="12" t="s">
        <v>36</v>
      </c>
      <c r="AX593" s="12" t="s">
        <v>77</v>
      </c>
      <c r="AY593" s="150" t="s">
        <v>177</v>
      </c>
    </row>
    <row r="594" spans="2:51" s="12" customFormat="1" ht="11.25">
      <c r="B594" s="149"/>
      <c r="D594" s="142" t="s">
        <v>193</v>
      </c>
      <c r="E594" s="150" t="s">
        <v>3</v>
      </c>
      <c r="F594" s="151" t="s">
        <v>2718</v>
      </c>
      <c r="H594" s="152">
        <v>103.984</v>
      </c>
      <c r="I594" s="153"/>
      <c r="L594" s="149"/>
      <c r="M594" s="154"/>
      <c r="T594" s="155"/>
      <c r="AT594" s="150" t="s">
        <v>193</v>
      </c>
      <c r="AU594" s="150" t="s">
        <v>87</v>
      </c>
      <c r="AV594" s="12" t="s">
        <v>87</v>
      </c>
      <c r="AW594" s="12" t="s">
        <v>36</v>
      </c>
      <c r="AX594" s="12" t="s">
        <v>77</v>
      </c>
      <c r="AY594" s="150" t="s">
        <v>177</v>
      </c>
    </row>
    <row r="595" spans="2:51" s="15" customFormat="1" ht="11.25">
      <c r="B595" s="169"/>
      <c r="D595" s="142" t="s">
        <v>193</v>
      </c>
      <c r="E595" s="170" t="s">
        <v>3</v>
      </c>
      <c r="F595" s="171" t="s">
        <v>201</v>
      </c>
      <c r="H595" s="172">
        <v>436.492</v>
      </c>
      <c r="I595" s="173"/>
      <c r="L595" s="169"/>
      <c r="M595" s="174"/>
      <c r="T595" s="175"/>
      <c r="AT595" s="170" t="s">
        <v>193</v>
      </c>
      <c r="AU595" s="170" t="s">
        <v>87</v>
      </c>
      <c r="AV595" s="15" t="s">
        <v>185</v>
      </c>
      <c r="AW595" s="15" t="s">
        <v>36</v>
      </c>
      <c r="AX595" s="15" t="s">
        <v>85</v>
      </c>
      <c r="AY595" s="170" t="s">
        <v>177</v>
      </c>
    </row>
    <row r="596" spans="2:65" s="1" customFormat="1" ht="49.15" customHeight="1">
      <c r="B596" s="128"/>
      <c r="C596" s="179" t="s">
        <v>2719</v>
      </c>
      <c r="D596" s="179" t="s">
        <v>484</v>
      </c>
      <c r="E596" s="180" t="s">
        <v>2720</v>
      </c>
      <c r="F596" s="181" t="s">
        <v>2721</v>
      </c>
      <c r="G596" s="182" t="s">
        <v>332</v>
      </c>
      <c r="H596" s="183">
        <v>523.79</v>
      </c>
      <c r="I596" s="184"/>
      <c r="J596" s="185">
        <f>ROUND(I596*H596,2)</f>
        <v>0</v>
      </c>
      <c r="K596" s="181" t="s">
        <v>184</v>
      </c>
      <c r="L596" s="186"/>
      <c r="M596" s="187" t="s">
        <v>3</v>
      </c>
      <c r="N596" s="188" t="s">
        <v>48</v>
      </c>
      <c r="P596" s="138">
        <f>O596*H596</f>
        <v>0</v>
      </c>
      <c r="Q596" s="138">
        <v>0.004</v>
      </c>
      <c r="R596" s="138">
        <f>Q596*H596</f>
        <v>2.09516</v>
      </c>
      <c r="S596" s="138">
        <v>0</v>
      </c>
      <c r="T596" s="139">
        <f>S596*H596</f>
        <v>0</v>
      </c>
      <c r="AR596" s="140" t="s">
        <v>537</v>
      </c>
      <c r="AT596" s="140" t="s">
        <v>484</v>
      </c>
      <c r="AU596" s="140" t="s">
        <v>87</v>
      </c>
      <c r="AY596" s="18" t="s">
        <v>177</v>
      </c>
      <c r="BE596" s="141">
        <f>IF(N596="základní",J596,0)</f>
        <v>0</v>
      </c>
      <c r="BF596" s="141">
        <f>IF(N596="snížená",J596,0)</f>
        <v>0</v>
      </c>
      <c r="BG596" s="141">
        <f>IF(N596="zákl. přenesená",J596,0)</f>
        <v>0</v>
      </c>
      <c r="BH596" s="141">
        <f>IF(N596="sníž. přenesená",J596,0)</f>
        <v>0</v>
      </c>
      <c r="BI596" s="141">
        <f>IF(N596="nulová",J596,0)</f>
        <v>0</v>
      </c>
      <c r="BJ596" s="18" t="s">
        <v>85</v>
      </c>
      <c r="BK596" s="141">
        <f>ROUND(I596*H596,2)</f>
        <v>0</v>
      </c>
      <c r="BL596" s="18" t="s">
        <v>237</v>
      </c>
      <c r="BM596" s="140" t="s">
        <v>2722</v>
      </c>
    </row>
    <row r="597" spans="2:47" s="1" customFormat="1" ht="29.25">
      <c r="B597" s="33"/>
      <c r="D597" s="142" t="s">
        <v>187</v>
      </c>
      <c r="F597" s="143" t="s">
        <v>2721</v>
      </c>
      <c r="I597" s="144"/>
      <c r="L597" s="33"/>
      <c r="M597" s="145"/>
      <c r="T597" s="54"/>
      <c r="AT597" s="18" t="s">
        <v>187</v>
      </c>
      <c r="AU597" s="18" t="s">
        <v>87</v>
      </c>
    </row>
    <row r="598" spans="2:51" s="12" customFormat="1" ht="11.25">
      <c r="B598" s="149"/>
      <c r="D598" s="142" t="s">
        <v>193</v>
      </c>
      <c r="F598" s="151" t="s">
        <v>2723</v>
      </c>
      <c r="H598" s="152">
        <v>523.79</v>
      </c>
      <c r="I598" s="153"/>
      <c r="L598" s="149"/>
      <c r="M598" s="154"/>
      <c r="T598" s="155"/>
      <c r="AT598" s="150" t="s">
        <v>193</v>
      </c>
      <c r="AU598" s="150" t="s">
        <v>87</v>
      </c>
      <c r="AV598" s="12" t="s">
        <v>87</v>
      </c>
      <c r="AW598" s="12" t="s">
        <v>4</v>
      </c>
      <c r="AX598" s="12" t="s">
        <v>85</v>
      </c>
      <c r="AY598" s="150" t="s">
        <v>177</v>
      </c>
    </row>
    <row r="599" spans="2:65" s="1" customFormat="1" ht="24.2" customHeight="1">
      <c r="B599" s="128"/>
      <c r="C599" s="129" t="s">
        <v>2724</v>
      </c>
      <c r="D599" s="129" t="s">
        <v>180</v>
      </c>
      <c r="E599" s="130" t="s">
        <v>1423</v>
      </c>
      <c r="F599" s="131" t="s">
        <v>1424</v>
      </c>
      <c r="G599" s="132" t="s">
        <v>332</v>
      </c>
      <c r="H599" s="133">
        <v>564.532</v>
      </c>
      <c r="I599" s="134"/>
      <c r="J599" s="135">
        <f>ROUND(I599*H599,2)</f>
        <v>0</v>
      </c>
      <c r="K599" s="131" t="s">
        <v>184</v>
      </c>
      <c r="L599" s="33"/>
      <c r="M599" s="136" t="s">
        <v>3</v>
      </c>
      <c r="N599" s="137" t="s">
        <v>48</v>
      </c>
      <c r="P599" s="138">
        <f>O599*H599</f>
        <v>0</v>
      </c>
      <c r="Q599" s="138">
        <v>0.00088313</v>
      </c>
      <c r="R599" s="138">
        <f>Q599*H599</f>
        <v>0.49855514516000005</v>
      </c>
      <c r="S599" s="138">
        <v>0</v>
      </c>
      <c r="T599" s="139">
        <f>S599*H599</f>
        <v>0</v>
      </c>
      <c r="AR599" s="140" t="s">
        <v>237</v>
      </c>
      <c r="AT599" s="140" t="s">
        <v>180</v>
      </c>
      <c r="AU599" s="140" t="s">
        <v>87</v>
      </c>
      <c r="AY599" s="18" t="s">
        <v>177</v>
      </c>
      <c r="BE599" s="141">
        <f>IF(N599="základní",J599,0)</f>
        <v>0</v>
      </c>
      <c r="BF599" s="141">
        <f>IF(N599="snížená",J599,0)</f>
        <v>0</v>
      </c>
      <c r="BG599" s="141">
        <f>IF(N599="zákl. přenesená",J599,0)</f>
        <v>0</v>
      </c>
      <c r="BH599" s="141">
        <f>IF(N599="sníž. přenesená",J599,0)</f>
        <v>0</v>
      </c>
      <c r="BI599" s="141">
        <f>IF(N599="nulová",J599,0)</f>
        <v>0</v>
      </c>
      <c r="BJ599" s="18" t="s">
        <v>85</v>
      </c>
      <c r="BK599" s="141">
        <f>ROUND(I599*H599,2)</f>
        <v>0</v>
      </c>
      <c r="BL599" s="18" t="s">
        <v>237</v>
      </c>
      <c r="BM599" s="140" t="s">
        <v>2725</v>
      </c>
    </row>
    <row r="600" spans="2:47" s="1" customFormat="1" ht="19.5">
      <c r="B600" s="33"/>
      <c r="D600" s="142" t="s">
        <v>187</v>
      </c>
      <c r="F600" s="143" t="s">
        <v>1426</v>
      </c>
      <c r="I600" s="144"/>
      <c r="L600" s="33"/>
      <c r="M600" s="145"/>
      <c r="T600" s="54"/>
      <c r="AT600" s="18" t="s">
        <v>187</v>
      </c>
      <c r="AU600" s="18" t="s">
        <v>87</v>
      </c>
    </row>
    <row r="601" spans="2:47" s="1" customFormat="1" ht="11.25">
      <c r="B601" s="33"/>
      <c r="D601" s="146" t="s">
        <v>189</v>
      </c>
      <c r="F601" s="147" t="s">
        <v>1427</v>
      </c>
      <c r="I601" s="144"/>
      <c r="L601" s="33"/>
      <c r="M601" s="145"/>
      <c r="T601" s="54"/>
      <c r="AT601" s="18" t="s">
        <v>189</v>
      </c>
      <c r="AU601" s="18" t="s">
        <v>87</v>
      </c>
    </row>
    <row r="602" spans="2:47" s="1" customFormat="1" ht="48.75">
      <c r="B602" s="33"/>
      <c r="D602" s="142" t="s">
        <v>191</v>
      </c>
      <c r="F602" s="148" t="s">
        <v>1428</v>
      </c>
      <c r="I602" s="144"/>
      <c r="L602" s="33"/>
      <c r="M602" s="145"/>
      <c r="T602" s="54"/>
      <c r="AT602" s="18" t="s">
        <v>191</v>
      </c>
      <c r="AU602" s="18" t="s">
        <v>87</v>
      </c>
    </row>
    <row r="603" spans="2:65" s="1" customFormat="1" ht="44.25" customHeight="1">
      <c r="B603" s="128"/>
      <c r="C603" s="179" t="s">
        <v>2726</v>
      </c>
      <c r="D603" s="179" t="s">
        <v>484</v>
      </c>
      <c r="E603" s="180" t="s">
        <v>2727</v>
      </c>
      <c r="F603" s="181" t="s">
        <v>2728</v>
      </c>
      <c r="G603" s="182" t="s">
        <v>332</v>
      </c>
      <c r="H603" s="183">
        <v>584.318</v>
      </c>
      <c r="I603" s="184"/>
      <c r="J603" s="185">
        <f>ROUND(I603*H603,2)</f>
        <v>0</v>
      </c>
      <c r="K603" s="181" t="s">
        <v>184</v>
      </c>
      <c r="L603" s="186"/>
      <c r="M603" s="187" t="s">
        <v>3</v>
      </c>
      <c r="N603" s="188" t="s">
        <v>48</v>
      </c>
      <c r="P603" s="138">
        <f>O603*H603</f>
        <v>0</v>
      </c>
      <c r="Q603" s="138">
        <v>0.0064</v>
      </c>
      <c r="R603" s="138">
        <f>Q603*H603</f>
        <v>3.7396352</v>
      </c>
      <c r="S603" s="138">
        <v>0</v>
      </c>
      <c r="T603" s="139">
        <f>S603*H603</f>
        <v>0</v>
      </c>
      <c r="AR603" s="140" t="s">
        <v>537</v>
      </c>
      <c r="AT603" s="140" t="s">
        <v>484</v>
      </c>
      <c r="AU603" s="140" t="s">
        <v>87</v>
      </c>
      <c r="AY603" s="18" t="s">
        <v>177</v>
      </c>
      <c r="BE603" s="141">
        <f>IF(N603="základní",J603,0)</f>
        <v>0</v>
      </c>
      <c r="BF603" s="141">
        <f>IF(N603="snížená",J603,0)</f>
        <v>0</v>
      </c>
      <c r="BG603" s="141">
        <f>IF(N603="zákl. přenesená",J603,0)</f>
        <v>0</v>
      </c>
      <c r="BH603" s="141">
        <f>IF(N603="sníž. přenesená",J603,0)</f>
        <v>0</v>
      </c>
      <c r="BI603" s="141">
        <f>IF(N603="nulová",J603,0)</f>
        <v>0</v>
      </c>
      <c r="BJ603" s="18" t="s">
        <v>85</v>
      </c>
      <c r="BK603" s="141">
        <f>ROUND(I603*H603,2)</f>
        <v>0</v>
      </c>
      <c r="BL603" s="18" t="s">
        <v>237</v>
      </c>
      <c r="BM603" s="140" t="s">
        <v>2729</v>
      </c>
    </row>
    <row r="604" spans="2:47" s="1" customFormat="1" ht="29.25">
      <c r="B604" s="33"/>
      <c r="D604" s="142" t="s">
        <v>187</v>
      </c>
      <c r="F604" s="143" t="s">
        <v>2728</v>
      </c>
      <c r="I604" s="144"/>
      <c r="L604" s="33"/>
      <c r="M604" s="145"/>
      <c r="T604" s="54"/>
      <c r="AT604" s="18" t="s">
        <v>187</v>
      </c>
      <c r="AU604" s="18" t="s">
        <v>87</v>
      </c>
    </row>
    <row r="605" spans="2:51" s="12" customFormat="1" ht="11.25">
      <c r="B605" s="149"/>
      <c r="D605" s="142" t="s">
        <v>193</v>
      </c>
      <c r="E605" s="150" t="s">
        <v>3</v>
      </c>
      <c r="F605" s="151" t="s">
        <v>2717</v>
      </c>
      <c r="H605" s="152">
        <v>332.508</v>
      </c>
      <c r="I605" s="153"/>
      <c r="L605" s="149"/>
      <c r="M605" s="154"/>
      <c r="T605" s="155"/>
      <c r="AT605" s="150" t="s">
        <v>193</v>
      </c>
      <c r="AU605" s="150" t="s">
        <v>87</v>
      </c>
      <c r="AV605" s="12" t="s">
        <v>87</v>
      </c>
      <c r="AW605" s="12" t="s">
        <v>36</v>
      </c>
      <c r="AX605" s="12" t="s">
        <v>77</v>
      </c>
      <c r="AY605" s="150" t="s">
        <v>177</v>
      </c>
    </row>
    <row r="606" spans="2:51" s="12" customFormat="1" ht="11.25">
      <c r="B606" s="149"/>
      <c r="D606" s="142" t="s">
        <v>193</v>
      </c>
      <c r="E606" s="150" t="s">
        <v>3</v>
      </c>
      <c r="F606" s="151" t="s">
        <v>2718</v>
      </c>
      <c r="H606" s="152">
        <v>103.984</v>
      </c>
      <c r="I606" s="153"/>
      <c r="L606" s="149"/>
      <c r="M606" s="154"/>
      <c r="T606" s="155"/>
      <c r="AT606" s="150" t="s">
        <v>193</v>
      </c>
      <c r="AU606" s="150" t="s">
        <v>87</v>
      </c>
      <c r="AV606" s="12" t="s">
        <v>87</v>
      </c>
      <c r="AW606" s="12" t="s">
        <v>36</v>
      </c>
      <c r="AX606" s="12" t="s">
        <v>77</v>
      </c>
      <c r="AY606" s="150" t="s">
        <v>177</v>
      </c>
    </row>
    <row r="607" spans="2:51" s="13" customFormat="1" ht="11.25">
      <c r="B607" s="156"/>
      <c r="D607" s="142" t="s">
        <v>193</v>
      </c>
      <c r="E607" s="157" t="s">
        <v>3</v>
      </c>
      <c r="F607" s="158" t="s">
        <v>2730</v>
      </c>
      <c r="H607" s="157" t="s">
        <v>3</v>
      </c>
      <c r="I607" s="159"/>
      <c r="L607" s="156"/>
      <c r="M607" s="160"/>
      <c r="T607" s="161"/>
      <c r="AT607" s="157" t="s">
        <v>193</v>
      </c>
      <c r="AU607" s="157" t="s">
        <v>87</v>
      </c>
      <c r="AV607" s="13" t="s">
        <v>85</v>
      </c>
      <c r="AW607" s="13" t="s">
        <v>36</v>
      </c>
      <c r="AX607" s="13" t="s">
        <v>77</v>
      </c>
      <c r="AY607" s="157" t="s">
        <v>177</v>
      </c>
    </row>
    <row r="608" spans="2:51" s="12" customFormat="1" ht="11.25">
      <c r="B608" s="149"/>
      <c r="D608" s="142" t="s">
        <v>193</v>
      </c>
      <c r="E608" s="150" t="s">
        <v>3</v>
      </c>
      <c r="F608" s="151" t="s">
        <v>2731</v>
      </c>
      <c r="H608" s="152">
        <v>50.44</v>
      </c>
      <c r="I608" s="153"/>
      <c r="L608" s="149"/>
      <c r="M608" s="154"/>
      <c r="T608" s="155"/>
      <c r="AT608" s="150" t="s">
        <v>193</v>
      </c>
      <c r="AU608" s="150" t="s">
        <v>87</v>
      </c>
      <c r="AV608" s="12" t="s">
        <v>87</v>
      </c>
      <c r="AW608" s="12" t="s">
        <v>36</v>
      </c>
      <c r="AX608" s="12" t="s">
        <v>77</v>
      </c>
      <c r="AY608" s="150" t="s">
        <v>177</v>
      </c>
    </row>
    <row r="609" spans="2:51" s="15" customFormat="1" ht="11.25">
      <c r="B609" s="169"/>
      <c r="D609" s="142" t="s">
        <v>193</v>
      </c>
      <c r="E609" s="170" t="s">
        <v>3</v>
      </c>
      <c r="F609" s="171" t="s">
        <v>201</v>
      </c>
      <c r="H609" s="172">
        <v>486.932</v>
      </c>
      <c r="I609" s="173"/>
      <c r="L609" s="169"/>
      <c r="M609" s="174"/>
      <c r="T609" s="175"/>
      <c r="AT609" s="170" t="s">
        <v>193</v>
      </c>
      <c r="AU609" s="170" t="s">
        <v>87</v>
      </c>
      <c r="AV609" s="15" t="s">
        <v>185</v>
      </c>
      <c r="AW609" s="15" t="s">
        <v>36</v>
      </c>
      <c r="AX609" s="15" t="s">
        <v>85</v>
      </c>
      <c r="AY609" s="170" t="s">
        <v>177</v>
      </c>
    </row>
    <row r="610" spans="2:51" s="12" customFormat="1" ht="11.25">
      <c r="B610" s="149"/>
      <c r="D610" s="142" t="s">
        <v>193</v>
      </c>
      <c r="F610" s="151" t="s">
        <v>2732</v>
      </c>
      <c r="H610" s="152">
        <v>584.318</v>
      </c>
      <c r="I610" s="153"/>
      <c r="L610" s="149"/>
      <c r="M610" s="154"/>
      <c r="T610" s="155"/>
      <c r="AT610" s="150" t="s">
        <v>193</v>
      </c>
      <c r="AU610" s="150" t="s">
        <v>87</v>
      </c>
      <c r="AV610" s="12" t="s">
        <v>87</v>
      </c>
      <c r="AW610" s="12" t="s">
        <v>4</v>
      </c>
      <c r="AX610" s="12" t="s">
        <v>85</v>
      </c>
      <c r="AY610" s="150" t="s">
        <v>177</v>
      </c>
    </row>
    <row r="611" spans="2:65" s="1" customFormat="1" ht="44.25" customHeight="1">
      <c r="B611" s="128"/>
      <c r="C611" s="179" t="s">
        <v>2733</v>
      </c>
      <c r="D611" s="179" t="s">
        <v>484</v>
      </c>
      <c r="E611" s="180" t="s">
        <v>2734</v>
      </c>
      <c r="F611" s="181" t="s">
        <v>2735</v>
      </c>
      <c r="G611" s="182" t="s">
        <v>332</v>
      </c>
      <c r="H611" s="183">
        <v>93.12</v>
      </c>
      <c r="I611" s="184"/>
      <c r="J611" s="185">
        <f>ROUND(I611*H611,2)</f>
        <v>0</v>
      </c>
      <c r="K611" s="181" t="s">
        <v>184</v>
      </c>
      <c r="L611" s="186"/>
      <c r="M611" s="187" t="s">
        <v>3</v>
      </c>
      <c r="N611" s="188" t="s">
        <v>48</v>
      </c>
      <c r="P611" s="138">
        <f>O611*H611</f>
        <v>0</v>
      </c>
      <c r="Q611" s="138">
        <v>0.00553</v>
      </c>
      <c r="R611" s="138">
        <f>Q611*H611</f>
        <v>0.5149536</v>
      </c>
      <c r="S611" s="138">
        <v>0</v>
      </c>
      <c r="T611" s="139">
        <f>S611*H611</f>
        <v>0</v>
      </c>
      <c r="AR611" s="140" t="s">
        <v>537</v>
      </c>
      <c r="AT611" s="140" t="s">
        <v>484</v>
      </c>
      <c r="AU611" s="140" t="s">
        <v>87</v>
      </c>
      <c r="AY611" s="18" t="s">
        <v>177</v>
      </c>
      <c r="BE611" s="141">
        <f>IF(N611="základní",J611,0)</f>
        <v>0</v>
      </c>
      <c r="BF611" s="141">
        <f>IF(N611="snížená",J611,0)</f>
        <v>0</v>
      </c>
      <c r="BG611" s="141">
        <f>IF(N611="zákl. přenesená",J611,0)</f>
        <v>0</v>
      </c>
      <c r="BH611" s="141">
        <f>IF(N611="sníž. přenesená",J611,0)</f>
        <v>0</v>
      </c>
      <c r="BI611" s="141">
        <f>IF(N611="nulová",J611,0)</f>
        <v>0</v>
      </c>
      <c r="BJ611" s="18" t="s">
        <v>85</v>
      </c>
      <c r="BK611" s="141">
        <f>ROUND(I611*H611,2)</f>
        <v>0</v>
      </c>
      <c r="BL611" s="18" t="s">
        <v>237</v>
      </c>
      <c r="BM611" s="140" t="s">
        <v>2736</v>
      </c>
    </row>
    <row r="612" spans="2:47" s="1" customFormat="1" ht="29.25">
      <c r="B612" s="33"/>
      <c r="D612" s="142" t="s">
        <v>187</v>
      </c>
      <c r="F612" s="143" t="s">
        <v>2735</v>
      </c>
      <c r="I612" s="144"/>
      <c r="L612" s="33"/>
      <c r="M612" s="145"/>
      <c r="T612" s="54"/>
      <c r="AT612" s="18" t="s">
        <v>187</v>
      </c>
      <c r="AU612" s="18" t="s">
        <v>87</v>
      </c>
    </row>
    <row r="613" spans="2:51" s="13" customFormat="1" ht="11.25">
      <c r="B613" s="156"/>
      <c r="D613" s="142" t="s">
        <v>193</v>
      </c>
      <c r="E613" s="157" t="s">
        <v>3</v>
      </c>
      <c r="F613" s="158" t="s">
        <v>2737</v>
      </c>
      <c r="H613" s="157" t="s">
        <v>3</v>
      </c>
      <c r="I613" s="159"/>
      <c r="L613" s="156"/>
      <c r="M613" s="160"/>
      <c r="T613" s="161"/>
      <c r="AT613" s="157" t="s">
        <v>193</v>
      </c>
      <c r="AU613" s="157" t="s">
        <v>87</v>
      </c>
      <c r="AV613" s="13" t="s">
        <v>85</v>
      </c>
      <c r="AW613" s="13" t="s">
        <v>36</v>
      </c>
      <c r="AX613" s="13" t="s">
        <v>77</v>
      </c>
      <c r="AY613" s="157" t="s">
        <v>177</v>
      </c>
    </row>
    <row r="614" spans="2:51" s="12" customFormat="1" ht="11.25">
      <c r="B614" s="149"/>
      <c r="D614" s="142" t="s">
        <v>193</v>
      </c>
      <c r="E614" s="150" t="s">
        <v>3</v>
      </c>
      <c r="F614" s="151" t="s">
        <v>2738</v>
      </c>
      <c r="H614" s="152">
        <v>77.6</v>
      </c>
      <c r="I614" s="153"/>
      <c r="L614" s="149"/>
      <c r="M614" s="154"/>
      <c r="T614" s="155"/>
      <c r="AT614" s="150" t="s">
        <v>193</v>
      </c>
      <c r="AU614" s="150" t="s">
        <v>87</v>
      </c>
      <c r="AV614" s="12" t="s">
        <v>87</v>
      </c>
      <c r="AW614" s="12" t="s">
        <v>36</v>
      </c>
      <c r="AX614" s="12" t="s">
        <v>77</v>
      </c>
      <c r="AY614" s="150" t="s">
        <v>177</v>
      </c>
    </row>
    <row r="615" spans="2:51" s="15" customFormat="1" ht="11.25">
      <c r="B615" s="169"/>
      <c r="D615" s="142" t="s">
        <v>193</v>
      </c>
      <c r="E615" s="170" t="s">
        <v>3</v>
      </c>
      <c r="F615" s="171" t="s">
        <v>201</v>
      </c>
      <c r="H615" s="172">
        <v>77.6</v>
      </c>
      <c r="I615" s="173"/>
      <c r="L615" s="169"/>
      <c r="M615" s="174"/>
      <c r="T615" s="175"/>
      <c r="AT615" s="170" t="s">
        <v>193</v>
      </c>
      <c r="AU615" s="170" t="s">
        <v>87</v>
      </c>
      <c r="AV615" s="15" t="s">
        <v>185</v>
      </c>
      <c r="AW615" s="15" t="s">
        <v>36</v>
      </c>
      <c r="AX615" s="15" t="s">
        <v>85</v>
      </c>
      <c r="AY615" s="170" t="s">
        <v>177</v>
      </c>
    </row>
    <row r="616" spans="2:51" s="12" customFormat="1" ht="11.25">
      <c r="B616" s="149"/>
      <c r="D616" s="142" t="s">
        <v>193</v>
      </c>
      <c r="F616" s="151" t="s">
        <v>2739</v>
      </c>
      <c r="H616" s="152">
        <v>93.12</v>
      </c>
      <c r="I616" s="153"/>
      <c r="L616" s="149"/>
      <c r="M616" s="154"/>
      <c r="T616" s="155"/>
      <c r="AT616" s="150" t="s">
        <v>193</v>
      </c>
      <c r="AU616" s="150" t="s">
        <v>87</v>
      </c>
      <c r="AV616" s="12" t="s">
        <v>87</v>
      </c>
      <c r="AW616" s="12" t="s">
        <v>4</v>
      </c>
      <c r="AX616" s="12" t="s">
        <v>85</v>
      </c>
      <c r="AY616" s="150" t="s">
        <v>177</v>
      </c>
    </row>
    <row r="617" spans="2:65" s="1" customFormat="1" ht="37.9" customHeight="1">
      <c r="B617" s="128"/>
      <c r="C617" s="129" t="s">
        <v>2445</v>
      </c>
      <c r="D617" s="129" t="s">
        <v>180</v>
      </c>
      <c r="E617" s="130" t="s">
        <v>2740</v>
      </c>
      <c r="F617" s="131" t="s">
        <v>2741</v>
      </c>
      <c r="G617" s="132" t="s">
        <v>236</v>
      </c>
      <c r="H617" s="133">
        <v>10</v>
      </c>
      <c r="I617" s="134"/>
      <c r="J617" s="135">
        <f>ROUND(I617*H617,2)</f>
        <v>0</v>
      </c>
      <c r="K617" s="131" t="s">
        <v>184</v>
      </c>
      <c r="L617" s="33"/>
      <c r="M617" s="136" t="s">
        <v>3</v>
      </c>
      <c r="N617" s="137" t="s">
        <v>48</v>
      </c>
      <c r="P617" s="138">
        <f>O617*H617</f>
        <v>0</v>
      </c>
      <c r="Q617" s="138">
        <v>0.00108</v>
      </c>
      <c r="R617" s="138">
        <f>Q617*H617</f>
        <v>0.0108</v>
      </c>
      <c r="S617" s="138">
        <v>0</v>
      </c>
      <c r="T617" s="139">
        <f>S617*H617</f>
        <v>0</v>
      </c>
      <c r="AR617" s="140" t="s">
        <v>237</v>
      </c>
      <c r="AT617" s="140" t="s">
        <v>180</v>
      </c>
      <c r="AU617" s="140" t="s">
        <v>87</v>
      </c>
      <c r="AY617" s="18" t="s">
        <v>177</v>
      </c>
      <c r="BE617" s="141">
        <f>IF(N617="základní",J617,0)</f>
        <v>0</v>
      </c>
      <c r="BF617" s="141">
        <f>IF(N617="snížená",J617,0)</f>
        <v>0</v>
      </c>
      <c r="BG617" s="141">
        <f>IF(N617="zákl. přenesená",J617,0)</f>
        <v>0</v>
      </c>
      <c r="BH617" s="141">
        <f>IF(N617="sníž. přenesená",J617,0)</f>
        <v>0</v>
      </c>
      <c r="BI617" s="141">
        <f>IF(N617="nulová",J617,0)</f>
        <v>0</v>
      </c>
      <c r="BJ617" s="18" t="s">
        <v>85</v>
      </c>
      <c r="BK617" s="141">
        <f>ROUND(I617*H617,2)</f>
        <v>0</v>
      </c>
      <c r="BL617" s="18" t="s">
        <v>237</v>
      </c>
      <c r="BM617" s="140" t="s">
        <v>2742</v>
      </c>
    </row>
    <row r="618" spans="2:47" s="1" customFormat="1" ht="39">
      <c r="B618" s="33"/>
      <c r="D618" s="142" t="s">
        <v>187</v>
      </c>
      <c r="F618" s="143" t="s">
        <v>2743</v>
      </c>
      <c r="I618" s="144"/>
      <c r="L618" s="33"/>
      <c r="M618" s="145"/>
      <c r="T618" s="54"/>
      <c r="AT618" s="18" t="s">
        <v>187</v>
      </c>
      <c r="AU618" s="18" t="s">
        <v>87</v>
      </c>
    </row>
    <row r="619" spans="2:47" s="1" customFormat="1" ht="11.25">
      <c r="B619" s="33"/>
      <c r="D619" s="146" t="s">
        <v>189</v>
      </c>
      <c r="F619" s="147" t="s">
        <v>2744</v>
      </c>
      <c r="I619" s="144"/>
      <c r="L619" s="33"/>
      <c r="M619" s="145"/>
      <c r="T619" s="54"/>
      <c r="AT619" s="18" t="s">
        <v>189</v>
      </c>
      <c r="AU619" s="18" t="s">
        <v>87</v>
      </c>
    </row>
    <row r="620" spans="2:47" s="1" customFormat="1" ht="48.75">
      <c r="B620" s="33"/>
      <c r="D620" s="142" t="s">
        <v>191</v>
      </c>
      <c r="F620" s="148" t="s">
        <v>1428</v>
      </c>
      <c r="I620" s="144"/>
      <c r="L620" s="33"/>
      <c r="M620" s="145"/>
      <c r="T620" s="54"/>
      <c r="AT620" s="18" t="s">
        <v>191</v>
      </c>
      <c r="AU620" s="18" t="s">
        <v>87</v>
      </c>
    </row>
    <row r="621" spans="2:65" s="1" customFormat="1" ht="37.9" customHeight="1">
      <c r="B621" s="128"/>
      <c r="C621" s="129" t="s">
        <v>2745</v>
      </c>
      <c r="D621" s="129" t="s">
        <v>180</v>
      </c>
      <c r="E621" s="130" t="s">
        <v>2746</v>
      </c>
      <c r="F621" s="131" t="s">
        <v>2747</v>
      </c>
      <c r="G621" s="132" t="s">
        <v>236</v>
      </c>
      <c r="H621" s="133">
        <v>1</v>
      </c>
      <c r="I621" s="134"/>
      <c r="J621" s="135">
        <f>ROUND(I621*H621,2)</f>
        <v>0</v>
      </c>
      <c r="K621" s="131" t="s">
        <v>184</v>
      </c>
      <c r="L621" s="33"/>
      <c r="M621" s="136" t="s">
        <v>3</v>
      </c>
      <c r="N621" s="137" t="s">
        <v>48</v>
      </c>
      <c r="P621" s="138">
        <f>O621*H621</f>
        <v>0</v>
      </c>
      <c r="Q621" s="138">
        <v>0.002589</v>
      </c>
      <c r="R621" s="138">
        <f>Q621*H621</f>
        <v>0.002589</v>
      </c>
      <c r="S621" s="138">
        <v>0</v>
      </c>
      <c r="T621" s="139">
        <f>S621*H621</f>
        <v>0</v>
      </c>
      <c r="AR621" s="140" t="s">
        <v>237</v>
      </c>
      <c r="AT621" s="140" t="s">
        <v>180</v>
      </c>
      <c r="AU621" s="140" t="s">
        <v>87</v>
      </c>
      <c r="AY621" s="18" t="s">
        <v>177</v>
      </c>
      <c r="BE621" s="141">
        <f>IF(N621="základní",J621,0)</f>
        <v>0</v>
      </c>
      <c r="BF621" s="141">
        <f>IF(N621="snížená",J621,0)</f>
        <v>0</v>
      </c>
      <c r="BG621" s="141">
        <f>IF(N621="zákl. přenesená",J621,0)</f>
        <v>0</v>
      </c>
      <c r="BH621" s="141">
        <f>IF(N621="sníž. přenesená",J621,0)</f>
        <v>0</v>
      </c>
      <c r="BI621" s="141">
        <f>IF(N621="nulová",J621,0)</f>
        <v>0</v>
      </c>
      <c r="BJ621" s="18" t="s">
        <v>85</v>
      </c>
      <c r="BK621" s="141">
        <f>ROUND(I621*H621,2)</f>
        <v>0</v>
      </c>
      <c r="BL621" s="18" t="s">
        <v>237</v>
      </c>
      <c r="BM621" s="140" t="s">
        <v>2748</v>
      </c>
    </row>
    <row r="622" spans="2:47" s="1" customFormat="1" ht="39">
      <c r="B622" s="33"/>
      <c r="D622" s="142" t="s">
        <v>187</v>
      </c>
      <c r="F622" s="143" t="s">
        <v>2749</v>
      </c>
      <c r="I622" s="144"/>
      <c r="L622" s="33"/>
      <c r="M622" s="145"/>
      <c r="T622" s="54"/>
      <c r="AT622" s="18" t="s">
        <v>187</v>
      </c>
      <c r="AU622" s="18" t="s">
        <v>87</v>
      </c>
    </row>
    <row r="623" spans="2:47" s="1" customFormat="1" ht="11.25">
      <c r="B623" s="33"/>
      <c r="D623" s="146" t="s">
        <v>189</v>
      </c>
      <c r="F623" s="147" t="s">
        <v>2750</v>
      </c>
      <c r="I623" s="144"/>
      <c r="L623" s="33"/>
      <c r="M623" s="145"/>
      <c r="T623" s="54"/>
      <c r="AT623" s="18" t="s">
        <v>189</v>
      </c>
      <c r="AU623" s="18" t="s">
        <v>87</v>
      </c>
    </row>
    <row r="624" spans="2:47" s="1" customFormat="1" ht="48.75">
      <c r="B624" s="33"/>
      <c r="D624" s="142" t="s">
        <v>191</v>
      </c>
      <c r="F624" s="148" t="s">
        <v>1428</v>
      </c>
      <c r="I624" s="144"/>
      <c r="L624" s="33"/>
      <c r="M624" s="145"/>
      <c r="T624" s="54"/>
      <c r="AT624" s="18" t="s">
        <v>191</v>
      </c>
      <c r="AU624" s="18" t="s">
        <v>87</v>
      </c>
    </row>
    <row r="625" spans="2:65" s="1" customFormat="1" ht="37.9" customHeight="1">
      <c r="B625" s="128"/>
      <c r="C625" s="129" t="s">
        <v>2751</v>
      </c>
      <c r="D625" s="129" t="s">
        <v>180</v>
      </c>
      <c r="E625" s="130" t="s">
        <v>2752</v>
      </c>
      <c r="F625" s="131" t="s">
        <v>2753</v>
      </c>
      <c r="G625" s="132" t="s">
        <v>332</v>
      </c>
      <c r="H625" s="133">
        <v>248.235</v>
      </c>
      <c r="I625" s="134"/>
      <c r="J625" s="135">
        <f>ROUND(I625*H625,2)</f>
        <v>0</v>
      </c>
      <c r="K625" s="131" t="s">
        <v>184</v>
      </c>
      <c r="L625" s="33"/>
      <c r="M625" s="136" t="s">
        <v>3</v>
      </c>
      <c r="N625" s="137" t="s">
        <v>48</v>
      </c>
      <c r="P625" s="138">
        <f>O625*H625</f>
        <v>0</v>
      </c>
      <c r="Q625" s="138">
        <v>0.000142248</v>
      </c>
      <c r="R625" s="138">
        <f>Q625*H625</f>
        <v>0.035310932280000006</v>
      </c>
      <c r="S625" s="138">
        <v>0</v>
      </c>
      <c r="T625" s="139">
        <f>S625*H625</f>
        <v>0</v>
      </c>
      <c r="AR625" s="140" t="s">
        <v>237</v>
      </c>
      <c r="AT625" s="140" t="s">
        <v>180</v>
      </c>
      <c r="AU625" s="140" t="s">
        <v>87</v>
      </c>
      <c r="AY625" s="18" t="s">
        <v>177</v>
      </c>
      <c r="BE625" s="141">
        <f>IF(N625="základní",J625,0)</f>
        <v>0</v>
      </c>
      <c r="BF625" s="141">
        <f>IF(N625="snížená",J625,0)</f>
        <v>0</v>
      </c>
      <c r="BG625" s="141">
        <f>IF(N625="zákl. přenesená",J625,0)</f>
        <v>0</v>
      </c>
      <c r="BH625" s="141">
        <f>IF(N625="sníž. přenesená",J625,0)</f>
        <v>0</v>
      </c>
      <c r="BI625" s="141">
        <f>IF(N625="nulová",J625,0)</f>
        <v>0</v>
      </c>
      <c r="BJ625" s="18" t="s">
        <v>85</v>
      </c>
      <c r="BK625" s="141">
        <f>ROUND(I625*H625,2)</f>
        <v>0</v>
      </c>
      <c r="BL625" s="18" t="s">
        <v>237</v>
      </c>
      <c r="BM625" s="140" t="s">
        <v>2754</v>
      </c>
    </row>
    <row r="626" spans="2:47" s="1" customFormat="1" ht="39">
      <c r="B626" s="33"/>
      <c r="D626" s="142" t="s">
        <v>187</v>
      </c>
      <c r="F626" s="143" t="s">
        <v>2755</v>
      </c>
      <c r="I626" s="144"/>
      <c r="L626" s="33"/>
      <c r="M626" s="145"/>
      <c r="T626" s="54"/>
      <c r="AT626" s="18" t="s">
        <v>187</v>
      </c>
      <c r="AU626" s="18" t="s">
        <v>87</v>
      </c>
    </row>
    <row r="627" spans="2:47" s="1" customFormat="1" ht="11.25">
      <c r="B627" s="33"/>
      <c r="D627" s="146" t="s">
        <v>189</v>
      </c>
      <c r="F627" s="147" t="s">
        <v>2756</v>
      </c>
      <c r="I627" s="144"/>
      <c r="L627" s="33"/>
      <c r="M627" s="145"/>
      <c r="T627" s="54"/>
      <c r="AT627" s="18" t="s">
        <v>189</v>
      </c>
      <c r="AU627" s="18" t="s">
        <v>87</v>
      </c>
    </row>
    <row r="628" spans="2:47" s="1" customFormat="1" ht="107.25">
      <c r="B628" s="33"/>
      <c r="D628" s="142" t="s">
        <v>191</v>
      </c>
      <c r="F628" s="148" t="s">
        <v>2757</v>
      </c>
      <c r="I628" s="144"/>
      <c r="L628" s="33"/>
      <c r="M628" s="145"/>
      <c r="T628" s="54"/>
      <c r="AT628" s="18" t="s">
        <v>191</v>
      </c>
      <c r="AU628" s="18" t="s">
        <v>87</v>
      </c>
    </row>
    <row r="629" spans="2:51" s="12" customFormat="1" ht="11.25">
      <c r="B629" s="149"/>
      <c r="D629" s="142" t="s">
        <v>193</v>
      </c>
      <c r="E629" s="150" t="s">
        <v>3</v>
      </c>
      <c r="F629" s="151" t="s">
        <v>2717</v>
      </c>
      <c r="H629" s="152">
        <v>332.508</v>
      </c>
      <c r="I629" s="153"/>
      <c r="L629" s="149"/>
      <c r="M629" s="154"/>
      <c r="T629" s="155"/>
      <c r="AT629" s="150" t="s">
        <v>193</v>
      </c>
      <c r="AU629" s="150" t="s">
        <v>87</v>
      </c>
      <c r="AV629" s="12" t="s">
        <v>87</v>
      </c>
      <c r="AW629" s="12" t="s">
        <v>36</v>
      </c>
      <c r="AX629" s="12" t="s">
        <v>77</v>
      </c>
      <c r="AY629" s="150" t="s">
        <v>177</v>
      </c>
    </row>
    <row r="630" spans="2:51" s="12" customFormat="1" ht="11.25">
      <c r="B630" s="149"/>
      <c r="D630" s="142" t="s">
        <v>193</v>
      </c>
      <c r="E630" s="150" t="s">
        <v>3</v>
      </c>
      <c r="F630" s="151" t="s">
        <v>2758</v>
      </c>
      <c r="H630" s="152">
        <v>-56.745</v>
      </c>
      <c r="I630" s="153"/>
      <c r="L630" s="149"/>
      <c r="M630" s="154"/>
      <c r="T630" s="155"/>
      <c r="AT630" s="150" t="s">
        <v>193</v>
      </c>
      <c r="AU630" s="150" t="s">
        <v>87</v>
      </c>
      <c r="AV630" s="12" t="s">
        <v>87</v>
      </c>
      <c r="AW630" s="12" t="s">
        <v>36</v>
      </c>
      <c r="AX630" s="12" t="s">
        <v>77</v>
      </c>
      <c r="AY630" s="150" t="s">
        <v>177</v>
      </c>
    </row>
    <row r="631" spans="2:51" s="12" customFormat="1" ht="11.25">
      <c r="B631" s="149"/>
      <c r="D631" s="142" t="s">
        <v>193</v>
      </c>
      <c r="E631" s="150" t="s">
        <v>3</v>
      </c>
      <c r="F631" s="151" t="s">
        <v>2759</v>
      </c>
      <c r="H631" s="152">
        <v>-27.528</v>
      </c>
      <c r="I631" s="153"/>
      <c r="L631" s="149"/>
      <c r="M631" s="154"/>
      <c r="T631" s="155"/>
      <c r="AT631" s="150" t="s">
        <v>193</v>
      </c>
      <c r="AU631" s="150" t="s">
        <v>87</v>
      </c>
      <c r="AV631" s="12" t="s">
        <v>87</v>
      </c>
      <c r="AW631" s="12" t="s">
        <v>36</v>
      </c>
      <c r="AX631" s="12" t="s">
        <v>77</v>
      </c>
      <c r="AY631" s="150" t="s">
        <v>177</v>
      </c>
    </row>
    <row r="632" spans="2:51" s="15" customFormat="1" ht="11.25">
      <c r="B632" s="169"/>
      <c r="D632" s="142" t="s">
        <v>193</v>
      </c>
      <c r="E632" s="170" t="s">
        <v>3</v>
      </c>
      <c r="F632" s="171" t="s">
        <v>201</v>
      </c>
      <c r="H632" s="172">
        <v>248.235</v>
      </c>
      <c r="I632" s="173"/>
      <c r="L632" s="169"/>
      <c r="M632" s="174"/>
      <c r="T632" s="175"/>
      <c r="AT632" s="170" t="s">
        <v>193</v>
      </c>
      <c r="AU632" s="170" t="s">
        <v>87</v>
      </c>
      <c r="AV632" s="15" t="s">
        <v>185</v>
      </c>
      <c r="AW632" s="15" t="s">
        <v>36</v>
      </c>
      <c r="AX632" s="15" t="s">
        <v>85</v>
      </c>
      <c r="AY632" s="170" t="s">
        <v>177</v>
      </c>
    </row>
    <row r="633" spans="2:65" s="1" customFormat="1" ht="33" customHeight="1">
      <c r="B633" s="128"/>
      <c r="C633" s="129" t="s">
        <v>2760</v>
      </c>
      <c r="D633" s="129" t="s">
        <v>180</v>
      </c>
      <c r="E633" s="130" t="s">
        <v>2761</v>
      </c>
      <c r="F633" s="131" t="s">
        <v>2762</v>
      </c>
      <c r="G633" s="132" t="s">
        <v>332</v>
      </c>
      <c r="H633" s="133">
        <v>56.745</v>
      </c>
      <c r="I633" s="134"/>
      <c r="J633" s="135">
        <f>ROUND(I633*H633,2)</f>
        <v>0</v>
      </c>
      <c r="K633" s="131" t="s">
        <v>184</v>
      </c>
      <c r="L633" s="33"/>
      <c r="M633" s="136" t="s">
        <v>3</v>
      </c>
      <c r="N633" s="137" t="s">
        <v>48</v>
      </c>
      <c r="P633" s="138">
        <f>O633*H633</f>
        <v>0</v>
      </c>
      <c r="Q633" s="138">
        <v>0.000284496</v>
      </c>
      <c r="R633" s="138">
        <f>Q633*H633</f>
        <v>0.01614372552</v>
      </c>
      <c r="S633" s="138">
        <v>0</v>
      </c>
      <c r="T633" s="139">
        <f>S633*H633</f>
        <v>0</v>
      </c>
      <c r="AR633" s="140" t="s">
        <v>237</v>
      </c>
      <c r="AT633" s="140" t="s">
        <v>180</v>
      </c>
      <c r="AU633" s="140" t="s">
        <v>87</v>
      </c>
      <c r="AY633" s="18" t="s">
        <v>177</v>
      </c>
      <c r="BE633" s="141">
        <f>IF(N633="základní",J633,0)</f>
        <v>0</v>
      </c>
      <c r="BF633" s="141">
        <f>IF(N633="snížená",J633,0)</f>
        <v>0</v>
      </c>
      <c r="BG633" s="141">
        <f>IF(N633="zákl. přenesená",J633,0)</f>
        <v>0</v>
      </c>
      <c r="BH633" s="141">
        <f>IF(N633="sníž. přenesená",J633,0)</f>
        <v>0</v>
      </c>
      <c r="BI633" s="141">
        <f>IF(N633="nulová",J633,0)</f>
        <v>0</v>
      </c>
      <c r="BJ633" s="18" t="s">
        <v>85</v>
      </c>
      <c r="BK633" s="141">
        <f>ROUND(I633*H633,2)</f>
        <v>0</v>
      </c>
      <c r="BL633" s="18" t="s">
        <v>237</v>
      </c>
      <c r="BM633" s="140" t="s">
        <v>2763</v>
      </c>
    </row>
    <row r="634" spans="2:47" s="1" customFormat="1" ht="39">
      <c r="B634" s="33"/>
      <c r="D634" s="142" t="s">
        <v>187</v>
      </c>
      <c r="F634" s="143" t="s">
        <v>2764</v>
      </c>
      <c r="I634" s="144"/>
      <c r="L634" s="33"/>
      <c r="M634" s="145"/>
      <c r="T634" s="54"/>
      <c r="AT634" s="18" t="s">
        <v>187</v>
      </c>
      <c r="AU634" s="18" t="s">
        <v>87</v>
      </c>
    </row>
    <row r="635" spans="2:47" s="1" customFormat="1" ht="11.25">
      <c r="B635" s="33"/>
      <c r="D635" s="146" t="s">
        <v>189</v>
      </c>
      <c r="F635" s="147" t="s">
        <v>2765</v>
      </c>
      <c r="I635" s="144"/>
      <c r="L635" s="33"/>
      <c r="M635" s="145"/>
      <c r="T635" s="54"/>
      <c r="AT635" s="18" t="s">
        <v>189</v>
      </c>
      <c r="AU635" s="18" t="s">
        <v>87</v>
      </c>
    </row>
    <row r="636" spans="2:47" s="1" customFormat="1" ht="107.25">
      <c r="B636" s="33"/>
      <c r="D636" s="142" t="s">
        <v>191</v>
      </c>
      <c r="F636" s="148" t="s">
        <v>2757</v>
      </c>
      <c r="I636" s="144"/>
      <c r="L636" s="33"/>
      <c r="M636" s="145"/>
      <c r="T636" s="54"/>
      <c r="AT636" s="18" t="s">
        <v>191</v>
      </c>
      <c r="AU636" s="18" t="s">
        <v>87</v>
      </c>
    </row>
    <row r="637" spans="2:51" s="12" customFormat="1" ht="11.25">
      <c r="B637" s="149"/>
      <c r="D637" s="142" t="s">
        <v>193</v>
      </c>
      <c r="E637" s="150" t="s">
        <v>3</v>
      </c>
      <c r="F637" s="151" t="s">
        <v>2766</v>
      </c>
      <c r="H637" s="152">
        <v>22.374</v>
      </c>
      <c r="I637" s="153"/>
      <c r="L637" s="149"/>
      <c r="M637" s="154"/>
      <c r="T637" s="155"/>
      <c r="AT637" s="150" t="s">
        <v>193</v>
      </c>
      <c r="AU637" s="150" t="s">
        <v>87</v>
      </c>
      <c r="AV637" s="12" t="s">
        <v>87</v>
      </c>
      <c r="AW637" s="12" t="s">
        <v>36</v>
      </c>
      <c r="AX637" s="12" t="s">
        <v>77</v>
      </c>
      <c r="AY637" s="150" t="s">
        <v>177</v>
      </c>
    </row>
    <row r="638" spans="2:51" s="12" customFormat="1" ht="11.25">
      <c r="B638" s="149"/>
      <c r="D638" s="142" t="s">
        <v>193</v>
      </c>
      <c r="E638" s="150" t="s">
        <v>3</v>
      </c>
      <c r="F638" s="151" t="s">
        <v>2767</v>
      </c>
      <c r="H638" s="152">
        <v>20.902</v>
      </c>
      <c r="I638" s="153"/>
      <c r="L638" s="149"/>
      <c r="M638" s="154"/>
      <c r="T638" s="155"/>
      <c r="AT638" s="150" t="s">
        <v>193</v>
      </c>
      <c r="AU638" s="150" t="s">
        <v>87</v>
      </c>
      <c r="AV638" s="12" t="s">
        <v>87</v>
      </c>
      <c r="AW638" s="12" t="s">
        <v>36</v>
      </c>
      <c r="AX638" s="12" t="s">
        <v>77</v>
      </c>
      <c r="AY638" s="150" t="s">
        <v>177</v>
      </c>
    </row>
    <row r="639" spans="2:51" s="12" customFormat="1" ht="11.25">
      <c r="B639" s="149"/>
      <c r="D639" s="142" t="s">
        <v>193</v>
      </c>
      <c r="E639" s="150" t="s">
        <v>3</v>
      </c>
      <c r="F639" s="151" t="s">
        <v>2768</v>
      </c>
      <c r="H639" s="152">
        <v>13.469</v>
      </c>
      <c r="I639" s="153"/>
      <c r="L639" s="149"/>
      <c r="M639" s="154"/>
      <c r="T639" s="155"/>
      <c r="AT639" s="150" t="s">
        <v>193</v>
      </c>
      <c r="AU639" s="150" t="s">
        <v>87</v>
      </c>
      <c r="AV639" s="12" t="s">
        <v>87</v>
      </c>
      <c r="AW639" s="12" t="s">
        <v>36</v>
      </c>
      <c r="AX639" s="12" t="s">
        <v>77</v>
      </c>
      <c r="AY639" s="150" t="s">
        <v>177</v>
      </c>
    </row>
    <row r="640" spans="2:51" s="15" customFormat="1" ht="11.25">
      <c r="B640" s="169"/>
      <c r="D640" s="142" t="s">
        <v>193</v>
      </c>
      <c r="E640" s="170" t="s">
        <v>3</v>
      </c>
      <c r="F640" s="171" t="s">
        <v>201</v>
      </c>
      <c r="H640" s="172">
        <v>56.745</v>
      </c>
      <c r="I640" s="173"/>
      <c r="L640" s="169"/>
      <c r="M640" s="174"/>
      <c r="T640" s="175"/>
      <c r="AT640" s="170" t="s">
        <v>193</v>
      </c>
      <c r="AU640" s="170" t="s">
        <v>87</v>
      </c>
      <c r="AV640" s="15" t="s">
        <v>185</v>
      </c>
      <c r="AW640" s="15" t="s">
        <v>36</v>
      </c>
      <c r="AX640" s="15" t="s">
        <v>85</v>
      </c>
      <c r="AY640" s="170" t="s">
        <v>177</v>
      </c>
    </row>
    <row r="641" spans="2:65" s="1" customFormat="1" ht="37.9" customHeight="1">
      <c r="B641" s="128"/>
      <c r="C641" s="129" t="s">
        <v>2769</v>
      </c>
      <c r="D641" s="129" t="s">
        <v>180</v>
      </c>
      <c r="E641" s="130" t="s">
        <v>2770</v>
      </c>
      <c r="F641" s="131" t="s">
        <v>2771</v>
      </c>
      <c r="G641" s="132" t="s">
        <v>332</v>
      </c>
      <c r="H641" s="133">
        <v>27.528</v>
      </c>
      <c r="I641" s="134"/>
      <c r="J641" s="135">
        <f>ROUND(I641*H641,2)</f>
        <v>0</v>
      </c>
      <c r="K641" s="131" t="s">
        <v>184</v>
      </c>
      <c r="L641" s="33"/>
      <c r="M641" s="136" t="s">
        <v>3</v>
      </c>
      <c r="N641" s="137" t="s">
        <v>48</v>
      </c>
      <c r="P641" s="138">
        <f>O641*H641</f>
        <v>0</v>
      </c>
      <c r="Q641" s="138">
        <v>0.000426744</v>
      </c>
      <c r="R641" s="138">
        <f>Q641*H641</f>
        <v>0.011747408832</v>
      </c>
      <c r="S641" s="138">
        <v>0</v>
      </c>
      <c r="T641" s="139">
        <f>S641*H641</f>
        <v>0</v>
      </c>
      <c r="AR641" s="140" t="s">
        <v>237</v>
      </c>
      <c r="AT641" s="140" t="s">
        <v>180</v>
      </c>
      <c r="AU641" s="140" t="s">
        <v>87</v>
      </c>
      <c r="AY641" s="18" t="s">
        <v>177</v>
      </c>
      <c r="BE641" s="141">
        <f>IF(N641="základní",J641,0)</f>
        <v>0</v>
      </c>
      <c r="BF641" s="141">
        <f>IF(N641="snížená",J641,0)</f>
        <v>0</v>
      </c>
      <c r="BG641" s="141">
        <f>IF(N641="zákl. přenesená",J641,0)</f>
        <v>0</v>
      </c>
      <c r="BH641" s="141">
        <f>IF(N641="sníž. přenesená",J641,0)</f>
        <v>0</v>
      </c>
      <c r="BI641" s="141">
        <f>IF(N641="nulová",J641,0)</f>
        <v>0</v>
      </c>
      <c r="BJ641" s="18" t="s">
        <v>85</v>
      </c>
      <c r="BK641" s="141">
        <f>ROUND(I641*H641,2)</f>
        <v>0</v>
      </c>
      <c r="BL641" s="18" t="s">
        <v>237</v>
      </c>
      <c r="BM641" s="140" t="s">
        <v>2772</v>
      </c>
    </row>
    <row r="642" spans="2:47" s="1" customFormat="1" ht="39">
      <c r="B642" s="33"/>
      <c r="D642" s="142" t="s">
        <v>187</v>
      </c>
      <c r="F642" s="143" t="s">
        <v>2773</v>
      </c>
      <c r="I642" s="144"/>
      <c r="L642" s="33"/>
      <c r="M642" s="145"/>
      <c r="T642" s="54"/>
      <c r="AT642" s="18" t="s">
        <v>187</v>
      </c>
      <c r="AU642" s="18" t="s">
        <v>87</v>
      </c>
    </row>
    <row r="643" spans="2:47" s="1" customFormat="1" ht="11.25">
      <c r="B643" s="33"/>
      <c r="D643" s="146" t="s">
        <v>189</v>
      </c>
      <c r="F643" s="147" t="s">
        <v>2774</v>
      </c>
      <c r="I643" s="144"/>
      <c r="L643" s="33"/>
      <c r="M643" s="145"/>
      <c r="T643" s="54"/>
      <c r="AT643" s="18" t="s">
        <v>189</v>
      </c>
      <c r="AU643" s="18" t="s">
        <v>87</v>
      </c>
    </row>
    <row r="644" spans="2:47" s="1" customFormat="1" ht="107.25">
      <c r="B644" s="33"/>
      <c r="D644" s="142" t="s">
        <v>191</v>
      </c>
      <c r="F644" s="148" t="s">
        <v>2757</v>
      </c>
      <c r="I644" s="144"/>
      <c r="L644" s="33"/>
      <c r="M644" s="145"/>
      <c r="T644" s="54"/>
      <c r="AT644" s="18" t="s">
        <v>191</v>
      </c>
      <c r="AU644" s="18" t="s">
        <v>87</v>
      </c>
    </row>
    <row r="645" spans="2:51" s="12" customFormat="1" ht="11.25">
      <c r="B645" s="149"/>
      <c r="D645" s="142" t="s">
        <v>193</v>
      </c>
      <c r="E645" s="150" t="s">
        <v>3</v>
      </c>
      <c r="F645" s="151" t="s">
        <v>2775</v>
      </c>
      <c r="H645" s="152">
        <v>7.066</v>
      </c>
      <c r="I645" s="153"/>
      <c r="L645" s="149"/>
      <c r="M645" s="154"/>
      <c r="T645" s="155"/>
      <c r="AT645" s="150" t="s">
        <v>193</v>
      </c>
      <c r="AU645" s="150" t="s">
        <v>87</v>
      </c>
      <c r="AV645" s="12" t="s">
        <v>87</v>
      </c>
      <c r="AW645" s="12" t="s">
        <v>36</v>
      </c>
      <c r="AX645" s="12" t="s">
        <v>77</v>
      </c>
      <c r="AY645" s="150" t="s">
        <v>177</v>
      </c>
    </row>
    <row r="646" spans="2:51" s="12" customFormat="1" ht="11.25">
      <c r="B646" s="149"/>
      <c r="D646" s="142" t="s">
        <v>193</v>
      </c>
      <c r="E646" s="150" t="s">
        <v>3</v>
      </c>
      <c r="F646" s="151" t="s">
        <v>2776</v>
      </c>
      <c r="H646" s="152">
        <v>6.698</v>
      </c>
      <c r="I646" s="153"/>
      <c r="L646" s="149"/>
      <c r="M646" s="154"/>
      <c r="T646" s="155"/>
      <c r="AT646" s="150" t="s">
        <v>193</v>
      </c>
      <c r="AU646" s="150" t="s">
        <v>87</v>
      </c>
      <c r="AV646" s="12" t="s">
        <v>87</v>
      </c>
      <c r="AW646" s="12" t="s">
        <v>36</v>
      </c>
      <c r="AX646" s="12" t="s">
        <v>77</v>
      </c>
      <c r="AY646" s="150" t="s">
        <v>177</v>
      </c>
    </row>
    <row r="647" spans="2:51" s="12" customFormat="1" ht="11.25">
      <c r="B647" s="149"/>
      <c r="D647" s="142" t="s">
        <v>193</v>
      </c>
      <c r="E647" s="150" t="s">
        <v>3</v>
      </c>
      <c r="F647" s="151" t="s">
        <v>2775</v>
      </c>
      <c r="H647" s="152">
        <v>7.066</v>
      </c>
      <c r="I647" s="153"/>
      <c r="L647" s="149"/>
      <c r="M647" s="154"/>
      <c r="T647" s="155"/>
      <c r="AT647" s="150" t="s">
        <v>193</v>
      </c>
      <c r="AU647" s="150" t="s">
        <v>87</v>
      </c>
      <c r="AV647" s="12" t="s">
        <v>87</v>
      </c>
      <c r="AW647" s="12" t="s">
        <v>36</v>
      </c>
      <c r="AX647" s="12" t="s">
        <v>77</v>
      </c>
      <c r="AY647" s="150" t="s">
        <v>177</v>
      </c>
    </row>
    <row r="648" spans="2:51" s="12" customFormat="1" ht="11.25">
      <c r="B648" s="149"/>
      <c r="D648" s="142" t="s">
        <v>193</v>
      </c>
      <c r="E648" s="150" t="s">
        <v>3</v>
      </c>
      <c r="F648" s="151" t="s">
        <v>2776</v>
      </c>
      <c r="H648" s="152">
        <v>6.698</v>
      </c>
      <c r="I648" s="153"/>
      <c r="L648" s="149"/>
      <c r="M648" s="154"/>
      <c r="T648" s="155"/>
      <c r="AT648" s="150" t="s">
        <v>193</v>
      </c>
      <c r="AU648" s="150" t="s">
        <v>87</v>
      </c>
      <c r="AV648" s="12" t="s">
        <v>87</v>
      </c>
      <c r="AW648" s="12" t="s">
        <v>36</v>
      </c>
      <c r="AX648" s="12" t="s">
        <v>77</v>
      </c>
      <c r="AY648" s="150" t="s">
        <v>177</v>
      </c>
    </row>
    <row r="649" spans="2:51" s="15" customFormat="1" ht="11.25">
      <c r="B649" s="169"/>
      <c r="D649" s="142" t="s">
        <v>193</v>
      </c>
      <c r="E649" s="170" t="s">
        <v>3</v>
      </c>
      <c r="F649" s="171" t="s">
        <v>201</v>
      </c>
      <c r="H649" s="172">
        <v>27.528</v>
      </c>
      <c r="I649" s="173"/>
      <c r="L649" s="169"/>
      <c r="M649" s="174"/>
      <c r="T649" s="175"/>
      <c r="AT649" s="170" t="s">
        <v>193</v>
      </c>
      <c r="AU649" s="170" t="s">
        <v>87</v>
      </c>
      <c r="AV649" s="15" t="s">
        <v>185</v>
      </c>
      <c r="AW649" s="15" t="s">
        <v>36</v>
      </c>
      <c r="AX649" s="15" t="s">
        <v>85</v>
      </c>
      <c r="AY649" s="170" t="s">
        <v>177</v>
      </c>
    </row>
    <row r="650" spans="2:65" s="1" customFormat="1" ht="24.2" customHeight="1">
      <c r="B650" s="128"/>
      <c r="C650" s="129" t="s">
        <v>2777</v>
      </c>
      <c r="D650" s="129" t="s">
        <v>180</v>
      </c>
      <c r="E650" s="130" t="s">
        <v>1433</v>
      </c>
      <c r="F650" s="131" t="s">
        <v>1434</v>
      </c>
      <c r="G650" s="132" t="s">
        <v>183</v>
      </c>
      <c r="H650" s="133">
        <v>6.925</v>
      </c>
      <c r="I650" s="134"/>
      <c r="J650" s="135">
        <f>ROUND(I650*H650,2)</f>
        <v>0</v>
      </c>
      <c r="K650" s="131" t="s">
        <v>184</v>
      </c>
      <c r="L650" s="33"/>
      <c r="M650" s="136" t="s">
        <v>3</v>
      </c>
      <c r="N650" s="137" t="s">
        <v>48</v>
      </c>
      <c r="P650" s="138">
        <f>O650*H650</f>
        <v>0</v>
      </c>
      <c r="Q650" s="138">
        <v>0</v>
      </c>
      <c r="R650" s="138">
        <f>Q650*H650</f>
        <v>0</v>
      </c>
      <c r="S650" s="138">
        <v>0</v>
      </c>
      <c r="T650" s="139">
        <f>S650*H650</f>
        <v>0</v>
      </c>
      <c r="AR650" s="140" t="s">
        <v>237</v>
      </c>
      <c r="AT650" s="140" t="s">
        <v>180</v>
      </c>
      <c r="AU650" s="140" t="s">
        <v>87</v>
      </c>
      <c r="AY650" s="18" t="s">
        <v>177</v>
      </c>
      <c r="BE650" s="141">
        <f>IF(N650="základní",J650,0)</f>
        <v>0</v>
      </c>
      <c r="BF650" s="141">
        <f>IF(N650="snížená",J650,0)</f>
        <v>0</v>
      </c>
      <c r="BG650" s="141">
        <f>IF(N650="zákl. přenesená",J650,0)</f>
        <v>0</v>
      </c>
      <c r="BH650" s="141">
        <f>IF(N650="sníž. přenesená",J650,0)</f>
        <v>0</v>
      </c>
      <c r="BI650" s="141">
        <f>IF(N650="nulová",J650,0)</f>
        <v>0</v>
      </c>
      <c r="BJ650" s="18" t="s">
        <v>85</v>
      </c>
      <c r="BK650" s="141">
        <f>ROUND(I650*H650,2)</f>
        <v>0</v>
      </c>
      <c r="BL650" s="18" t="s">
        <v>237</v>
      </c>
      <c r="BM650" s="140" t="s">
        <v>2778</v>
      </c>
    </row>
    <row r="651" spans="2:47" s="1" customFormat="1" ht="29.25">
      <c r="B651" s="33"/>
      <c r="D651" s="142" t="s">
        <v>187</v>
      </c>
      <c r="F651" s="143" t="s">
        <v>1436</v>
      </c>
      <c r="I651" s="144"/>
      <c r="L651" s="33"/>
      <c r="M651" s="145"/>
      <c r="T651" s="54"/>
      <c r="AT651" s="18" t="s">
        <v>187</v>
      </c>
      <c r="AU651" s="18" t="s">
        <v>87</v>
      </c>
    </row>
    <row r="652" spans="2:47" s="1" customFormat="1" ht="11.25">
      <c r="B652" s="33"/>
      <c r="D652" s="146" t="s">
        <v>189</v>
      </c>
      <c r="F652" s="147" t="s">
        <v>1437</v>
      </c>
      <c r="I652" s="144"/>
      <c r="L652" s="33"/>
      <c r="M652" s="145"/>
      <c r="T652" s="54"/>
      <c r="AT652" s="18" t="s">
        <v>189</v>
      </c>
      <c r="AU652" s="18" t="s">
        <v>87</v>
      </c>
    </row>
    <row r="653" spans="2:47" s="1" customFormat="1" ht="126.75">
      <c r="B653" s="33"/>
      <c r="D653" s="142" t="s">
        <v>191</v>
      </c>
      <c r="F653" s="148" t="s">
        <v>1438</v>
      </c>
      <c r="I653" s="144"/>
      <c r="L653" s="33"/>
      <c r="M653" s="145"/>
      <c r="T653" s="54"/>
      <c r="AT653" s="18" t="s">
        <v>191</v>
      </c>
      <c r="AU653" s="18" t="s">
        <v>87</v>
      </c>
    </row>
    <row r="654" spans="2:65" s="1" customFormat="1" ht="24.2" customHeight="1">
      <c r="B654" s="128"/>
      <c r="C654" s="129" t="s">
        <v>2779</v>
      </c>
      <c r="D654" s="129" t="s">
        <v>180</v>
      </c>
      <c r="E654" s="130" t="s">
        <v>1439</v>
      </c>
      <c r="F654" s="131" t="s">
        <v>1440</v>
      </c>
      <c r="G654" s="132" t="s">
        <v>183</v>
      </c>
      <c r="H654" s="133">
        <v>6.925</v>
      </c>
      <c r="I654" s="134"/>
      <c r="J654" s="135">
        <f>ROUND(I654*H654,2)</f>
        <v>0</v>
      </c>
      <c r="K654" s="131" t="s">
        <v>184</v>
      </c>
      <c r="L654" s="33"/>
      <c r="M654" s="136" t="s">
        <v>3</v>
      </c>
      <c r="N654" s="137" t="s">
        <v>48</v>
      </c>
      <c r="P654" s="138">
        <f>O654*H654</f>
        <v>0</v>
      </c>
      <c r="Q654" s="138">
        <v>0</v>
      </c>
      <c r="R654" s="138">
        <f>Q654*H654</f>
        <v>0</v>
      </c>
      <c r="S654" s="138">
        <v>0</v>
      </c>
      <c r="T654" s="139">
        <f>S654*H654</f>
        <v>0</v>
      </c>
      <c r="AR654" s="140" t="s">
        <v>237</v>
      </c>
      <c r="AT654" s="140" t="s">
        <v>180</v>
      </c>
      <c r="AU654" s="140" t="s">
        <v>87</v>
      </c>
      <c r="AY654" s="18" t="s">
        <v>177</v>
      </c>
      <c r="BE654" s="141">
        <f>IF(N654="základní",J654,0)</f>
        <v>0</v>
      </c>
      <c r="BF654" s="141">
        <f>IF(N654="snížená",J654,0)</f>
        <v>0</v>
      </c>
      <c r="BG654" s="141">
        <f>IF(N654="zákl. přenesená",J654,0)</f>
        <v>0</v>
      </c>
      <c r="BH654" s="141">
        <f>IF(N654="sníž. přenesená",J654,0)</f>
        <v>0</v>
      </c>
      <c r="BI654" s="141">
        <f>IF(N654="nulová",J654,0)</f>
        <v>0</v>
      </c>
      <c r="BJ654" s="18" t="s">
        <v>85</v>
      </c>
      <c r="BK654" s="141">
        <f>ROUND(I654*H654,2)</f>
        <v>0</v>
      </c>
      <c r="BL654" s="18" t="s">
        <v>237</v>
      </c>
      <c r="BM654" s="140" t="s">
        <v>2780</v>
      </c>
    </row>
    <row r="655" spans="2:47" s="1" customFormat="1" ht="29.25">
      <c r="B655" s="33"/>
      <c r="D655" s="142" t="s">
        <v>187</v>
      </c>
      <c r="F655" s="143" t="s">
        <v>1442</v>
      </c>
      <c r="I655" s="144"/>
      <c r="L655" s="33"/>
      <c r="M655" s="145"/>
      <c r="T655" s="54"/>
      <c r="AT655" s="18" t="s">
        <v>187</v>
      </c>
      <c r="AU655" s="18" t="s">
        <v>87</v>
      </c>
    </row>
    <row r="656" spans="2:47" s="1" customFormat="1" ht="11.25">
      <c r="B656" s="33"/>
      <c r="D656" s="146" t="s">
        <v>189</v>
      </c>
      <c r="F656" s="147" t="s">
        <v>1443</v>
      </c>
      <c r="I656" s="144"/>
      <c r="L656" s="33"/>
      <c r="M656" s="145"/>
      <c r="T656" s="54"/>
      <c r="AT656" s="18" t="s">
        <v>189</v>
      </c>
      <c r="AU656" s="18" t="s">
        <v>87</v>
      </c>
    </row>
    <row r="657" spans="2:47" s="1" customFormat="1" ht="126.75">
      <c r="B657" s="33"/>
      <c r="D657" s="142" t="s">
        <v>191</v>
      </c>
      <c r="F657" s="148" t="s">
        <v>1438</v>
      </c>
      <c r="I657" s="144"/>
      <c r="L657" s="33"/>
      <c r="M657" s="145"/>
      <c r="T657" s="54"/>
      <c r="AT657" s="18" t="s">
        <v>191</v>
      </c>
      <c r="AU657" s="18" t="s">
        <v>87</v>
      </c>
    </row>
    <row r="658" spans="2:63" s="11" customFormat="1" ht="22.9" customHeight="1">
      <c r="B658" s="116"/>
      <c r="D658" s="117" t="s">
        <v>76</v>
      </c>
      <c r="E658" s="126" t="s">
        <v>769</v>
      </c>
      <c r="F658" s="126" t="s">
        <v>770</v>
      </c>
      <c r="I658" s="119"/>
      <c r="J658" s="127">
        <f>BK658</f>
        <v>0</v>
      </c>
      <c r="L658" s="116"/>
      <c r="M658" s="121"/>
      <c r="P658" s="122">
        <f>SUM(P659:P701)</f>
        <v>0</v>
      </c>
      <c r="R658" s="122">
        <f>SUM(R659:R701)</f>
        <v>3.9589434223200004</v>
      </c>
      <c r="T658" s="123">
        <f>SUM(T659:T701)</f>
        <v>0</v>
      </c>
      <c r="AR658" s="117" t="s">
        <v>87</v>
      </c>
      <c r="AT658" s="124" t="s">
        <v>76</v>
      </c>
      <c r="AU658" s="124" t="s">
        <v>85</v>
      </c>
      <c r="AY658" s="117" t="s">
        <v>177</v>
      </c>
      <c r="BK658" s="125">
        <f>SUM(BK659:BK701)</f>
        <v>0</v>
      </c>
    </row>
    <row r="659" spans="2:65" s="1" customFormat="1" ht="33" customHeight="1">
      <c r="B659" s="128"/>
      <c r="C659" s="129" t="s">
        <v>2781</v>
      </c>
      <c r="D659" s="129" t="s">
        <v>180</v>
      </c>
      <c r="E659" s="130" t="s">
        <v>2782</v>
      </c>
      <c r="F659" s="131" t="s">
        <v>2783</v>
      </c>
      <c r="G659" s="132" t="s">
        <v>332</v>
      </c>
      <c r="H659" s="133">
        <v>332.508</v>
      </c>
      <c r="I659" s="134"/>
      <c r="J659" s="135">
        <f>ROUND(I659*H659,2)</f>
        <v>0</v>
      </c>
      <c r="K659" s="131" t="s">
        <v>184</v>
      </c>
      <c r="L659" s="33"/>
      <c r="M659" s="136" t="s">
        <v>3</v>
      </c>
      <c r="N659" s="137" t="s">
        <v>48</v>
      </c>
      <c r="P659" s="138">
        <f>O659*H659</f>
        <v>0</v>
      </c>
      <c r="Q659" s="138">
        <v>0.001159</v>
      </c>
      <c r="R659" s="138">
        <f>Q659*H659</f>
        <v>0.38537677200000003</v>
      </c>
      <c r="S659" s="138">
        <v>0</v>
      </c>
      <c r="T659" s="139">
        <f>S659*H659</f>
        <v>0</v>
      </c>
      <c r="AR659" s="140" t="s">
        <v>237</v>
      </c>
      <c r="AT659" s="140" t="s">
        <v>180</v>
      </c>
      <c r="AU659" s="140" t="s">
        <v>87</v>
      </c>
      <c r="AY659" s="18" t="s">
        <v>177</v>
      </c>
      <c r="BE659" s="141">
        <f>IF(N659="základní",J659,0)</f>
        <v>0</v>
      </c>
      <c r="BF659" s="141">
        <f>IF(N659="snížená",J659,0)</f>
        <v>0</v>
      </c>
      <c r="BG659" s="141">
        <f>IF(N659="zákl. přenesená",J659,0)</f>
        <v>0</v>
      </c>
      <c r="BH659" s="141">
        <f>IF(N659="sníž. přenesená",J659,0)</f>
        <v>0</v>
      </c>
      <c r="BI659" s="141">
        <f>IF(N659="nulová",J659,0)</f>
        <v>0</v>
      </c>
      <c r="BJ659" s="18" t="s">
        <v>85</v>
      </c>
      <c r="BK659" s="141">
        <f>ROUND(I659*H659,2)</f>
        <v>0</v>
      </c>
      <c r="BL659" s="18" t="s">
        <v>237</v>
      </c>
      <c r="BM659" s="140" t="s">
        <v>2784</v>
      </c>
    </row>
    <row r="660" spans="2:47" s="1" customFormat="1" ht="29.25">
      <c r="B660" s="33"/>
      <c r="D660" s="142" t="s">
        <v>187</v>
      </c>
      <c r="F660" s="143" t="s">
        <v>2785</v>
      </c>
      <c r="I660" s="144"/>
      <c r="L660" s="33"/>
      <c r="M660" s="145"/>
      <c r="T660" s="54"/>
      <c r="AT660" s="18" t="s">
        <v>187</v>
      </c>
      <c r="AU660" s="18" t="s">
        <v>87</v>
      </c>
    </row>
    <row r="661" spans="2:47" s="1" customFormat="1" ht="11.25">
      <c r="B661" s="33"/>
      <c r="D661" s="146" t="s">
        <v>189</v>
      </c>
      <c r="F661" s="147" t="s">
        <v>2786</v>
      </c>
      <c r="I661" s="144"/>
      <c r="L661" s="33"/>
      <c r="M661" s="145"/>
      <c r="T661" s="54"/>
      <c r="AT661" s="18" t="s">
        <v>189</v>
      </c>
      <c r="AU661" s="18" t="s">
        <v>87</v>
      </c>
    </row>
    <row r="662" spans="2:47" s="1" customFormat="1" ht="165.75">
      <c r="B662" s="33"/>
      <c r="D662" s="142" t="s">
        <v>191</v>
      </c>
      <c r="F662" s="148" t="s">
        <v>2787</v>
      </c>
      <c r="I662" s="144"/>
      <c r="L662" s="33"/>
      <c r="M662" s="145"/>
      <c r="T662" s="54"/>
      <c r="AT662" s="18" t="s">
        <v>191</v>
      </c>
      <c r="AU662" s="18" t="s">
        <v>87</v>
      </c>
    </row>
    <row r="663" spans="2:51" s="13" customFormat="1" ht="11.25">
      <c r="B663" s="156"/>
      <c r="D663" s="142" t="s">
        <v>193</v>
      </c>
      <c r="E663" s="157" t="s">
        <v>3</v>
      </c>
      <c r="F663" s="158" t="s">
        <v>1244</v>
      </c>
      <c r="H663" s="157" t="s">
        <v>3</v>
      </c>
      <c r="I663" s="159"/>
      <c r="L663" s="156"/>
      <c r="M663" s="160"/>
      <c r="T663" s="161"/>
      <c r="AT663" s="157" t="s">
        <v>193</v>
      </c>
      <c r="AU663" s="157" t="s">
        <v>87</v>
      </c>
      <c r="AV663" s="13" t="s">
        <v>85</v>
      </c>
      <c r="AW663" s="13" t="s">
        <v>36</v>
      </c>
      <c r="AX663" s="13" t="s">
        <v>77</v>
      </c>
      <c r="AY663" s="157" t="s">
        <v>177</v>
      </c>
    </row>
    <row r="664" spans="2:51" s="12" customFormat="1" ht="11.25">
      <c r="B664" s="149"/>
      <c r="D664" s="142" t="s">
        <v>193</v>
      </c>
      <c r="E664" s="150" t="s">
        <v>3</v>
      </c>
      <c r="F664" s="151" t="s">
        <v>2717</v>
      </c>
      <c r="H664" s="152">
        <v>332.508</v>
      </c>
      <c r="I664" s="153"/>
      <c r="L664" s="149"/>
      <c r="M664" s="154"/>
      <c r="T664" s="155"/>
      <c r="AT664" s="150" t="s">
        <v>193</v>
      </c>
      <c r="AU664" s="150" t="s">
        <v>87</v>
      </c>
      <c r="AV664" s="12" t="s">
        <v>87</v>
      </c>
      <c r="AW664" s="12" t="s">
        <v>36</v>
      </c>
      <c r="AX664" s="12" t="s">
        <v>85</v>
      </c>
      <c r="AY664" s="150" t="s">
        <v>177</v>
      </c>
    </row>
    <row r="665" spans="2:65" s="1" customFormat="1" ht="24.2" customHeight="1">
      <c r="B665" s="128"/>
      <c r="C665" s="179" t="s">
        <v>2788</v>
      </c>
      <c r="D665" s="179" t="s">
        <v>484</v>
      </c>
      <c r="E665" s="180" t="s">
        <v>2789</v>
      </c>
      <c r="F665" s="181" t="s">
        <v>2790</v>
      </c>
      <c r="G665" s="182" t="s">
        <v>332</v>
      </c>
      <c r="H665" s="183">
        <v>365.759</v>
      </c>
      <c r="I665" s="184"/>
      <c r="J665" s="185">
        <f>ROUND(I665*H665,2)</f>
        <v>0</v>
      </c>
      <c r="K665" s="181" t="s">
        <v>184</v>
      </c>
      <c r="L665" s="186"/>
      <c r="M665" s="187" t="s">
        <v>3</v>
      </c>
      <c r="N665" s="188" t="s">
        <v>48</v>
      </c>
      <c r="P665" s="138">
        <f>O665*H665</f>
        <v>0</v>
      </c>
      <c r="Q665" s="138">
        <v>0.00313</v>
      </c>
      <c r="R665" s="138">
        <f>Q665*H665</f>
        <v>1.1448256700000001</v>
      </c>
      <c r="S665" s="138">
        <v>0</v>
      </c>
      <c r="T665" s="139">
        <f>S665*H665</f>
        <v>0</v>
      </c>
      <c r="AR665" s="140" t="s">
        <v>537</v>
      </c>
      <c r="AT665" s="140" t="s">
        <v>484</v>
      </c>
      <c r="AU665" s="140" t="s">
        <v>87</v>
      </c>
      <c r="AY665" s="18" t="s">
        <v>177</v>
      </c>
      <c r="BE665" s="141">
        <f>IF(N665="základní",J665,0)</f>
        <v>0</v>
      </c>
      <c r="BF665" s="141">
        <f>IF(N665="snížená",J665,0)</f>
        <v>0</v>
      </c>
      <c r="BG665" s="141">
        <f>IF(N665="zákl. přenesená",J665,0)</f>
        <v>0</v>
      </c>
      <c r="BH665" s="141">
        <f>IF(N665="sníž. přenesená",J665,0)</f>
        <v>0</v>
      </c>
      <c r="BI665" s="141">
        <f>IF(N665="nulová",J665,0)</f>
        <v>0</v>
      </c>
      <c r="BJ665" s="18" t="s">
        <v>85</v>
      </c>
      <c r="BK665" s="141">
        <f>ROUND(I665*H665,2)</f>
        <v>0</v>
      </c>
      <c r="BL665" s="18" t="s">
        <v>237</v>
      </c>
      <c r="BM665" s="140" t="s">
        <v>2791</v>
      </c>
    </row>
    <row r="666" spans="2:47" s="1" customFormat="1" ht="11.25">
      <c r="B666" s="33"/>
      <c r="D666" s="142" t="s">
        <v>187</v>
      </c>
      <c r="F666" s="143" t="s">
        <v>2792</v>
      </c>
      <c r="I666" s="144"/>
      <c r="L666" s="33"/>
      <c r="M666" s="145"/>
      <c r="T666" s="54"/>
      <c r="AT666" s="18" t="s">
        <v>187</v>
      </c>
      <c r="AU666" s="18" t="s">
        <v>87</v>
      </c>
    </row>
    <row r="667" spans="2:51" s="12" customFormat="1" ht="11.25">
      <c r="B667" s="149"/>
      <c r="D667" s="142" t="s">
        <v>193</v>
      </c>
      <c r="F667" s="151" t="s">
        <v>2793</v>
      </c>
      <c r="H667" s="152">
        <v>365.759</v>
      </c>
      <c r="I667" s="153"/>
      <c r="L667" s="149"/>
      <c r="M667" s="154"/>
      <c r="T667" s="155"/>
      <c r="AT667" s="150" t="s">
        <v>193</v>
      </c>
      <c r="AU667" s="150" t="s">
        <v>87</v>
      </c>
      <c r="AV667" s="12" t="s">
        <v>87</v>
      </c>
      <c r="AW667" s="12" t="s">
        <v>4</v>
      </c>
      <c r="AX667" s="12" t="s">
        <v>85</v>
      </c>
      <c r="AY667" s="150" t="s">
        <v>177</v>
      </c>
    </row>
    <row r="668" spans="2:65" s="1" customFormat="1" ht="33" customHeight="1">
      <c r="B668" s="128"/>
      <c r="C668" s="129" t="s">
        <v>2794</v>
      </c>
      <c r="D668" s="129" t="s">
        <v>180</v>
      </c>
      <c r="E668" s="130" t="s">
        <v>2782</v>
      </c>
      <c r="F668" s="131" t="s">
        <v>2783</v>
      </c>
      <c r="G668" s="132" t="s">
        <v>332</v>
      </c>
      <c r="H668" s="133">
        <v>332.508</v>
      </c>
      <c r="I668" s="134"/>
      <c r="J668" s="135">
        <f>ROUND(I668*H668,2)</f>
        <v>0</v>
      </c>
      <c r="K668" s="131" t="s">
        <v>184</v>
      </c>
      <c r="L668" s="33"/>
      <c r="M668" s="136" t="s">
        <v>3</v>
      </c>
      <c r="N668" s="137" t="s">
        <v>48</v>
      </c>
      <c r="P668" s="138">
        <f>O668*H668</f>
        <v>0</v>
      </c>
      <c r="Q668" s="138">
        <v>0.001159</v>
      </c>
      <c r="R668" s="138">
        <f>Q668*H668</f>
        <v>0.38537677200000003</v>
      </c>
      <c r="S668" s="138">
        <v>0</v>
      </c>
      <c r="T668" s="139">
        <f>S668*H668</f>
        <v>0</v>
      </c>
      <c r="AR668" s="140" t="s">
        <v>237</v>
      </c>
      <c r="AT668" s="140" t="s">
        <v>180</v>
      </c>
      <c r="AU668" s="140" t="s">
        <v>87</v>
      </c>
      <c r="AY668" s="18" t="s">
        <v>177</v>
      </c>
      <c r="BE668" s="141">
        <f>IF(N668="základní",J668,0)</f>
        <v>0</v>
      </c>
      <c r="BF668" s="141">
        <f>IF(N668="snížená",J668,0)</f>
        <v>0</v>
      </c>
      <c r="BG668" s="141">
        <f>IF(N668="zákl. přenesená",J668,0)</f>
        <v>0</v>
      </c>
      <c r="BH668" s="141">
        <f>IF(N668="sníž. přenesená",J668,0)</f>
        <v>0</v>
      </c>
      <c r="BI668" s="141">
        <f>IF(N668="nulová",J668,0)</f>
        <v>0</v>
      </c>
      <c r="BJ668" s="18" t="s">
        <v>85</v>
      </c>
      <c r="BK668" s="141">
        <f>ROUND(I668*H668,2)</f>
        <v>0</v>
      </c>
      <c r="BL668" s="18" t="s">
        <v>237</v>
      </c>
      <c r="BM668" s="140" t="s">
        <v>2795</v>
      </c>
    </row>
    <row r="669" spans="2:47" s="1" customFormat="1" ht="29.25">
      <c r="B669" s="33"/>
      <c r="D669" s="142" t="s">
        <v>187</v>
      </c>
      <c r="F669" s="143" t="s">
        <v>2785</v>
      </c>
      <c r="I669" s="144"/>
      <c r="L669" s="33"/>
      <c r="M669" s="145"/>
      <c r="T669" s="54"/>
      <c r="AT669" s="18" t="s">
        <v>187</v>
      </c>
      <c r="AU669" s="18" t="s">
        <v>87</v>
      </c>
    </row>
    <row r="670" spans="2:47" s="1" customFormat="1" ht="11.25">
      <c r="B670" s="33"/>
      <c r="D670" s="146" t="s">
        <v>189</v>
      </c>
      <c r="F670" s="147" t="s">
        <v>2786</v>
      </c>
      <c r="I670" s="144"/>
      <c r="L670" s="33"/>
      <c r="M670" s="145"/>
      <c r="T670" s="54"/>
      <c r="AT670" s="18" t="s">
        <v>189</v>
      </c>
      <c r="AU670" s="18" t="s">
        <v>87</v>
      </c>
    </row>
    <row r="671" spans="2:47" s="1" customFormat="1" ht="165.75">
      <c r="B671" s="33"/>
      <c r="D671" s="142" t="s">
        <v>191</v>
      </c>
      <c r="F671" s="148" t="s">
        <v>2787</v>
      </c>
      <c r="I671" s="144"/>
      <c r="L671" s="33"/>
      <c r="M671" s="145"/>
      <c r="T671" s="54"/>
      <c r="AT671" s="18" t="s">
        <v>191</v>
      </c>
      <c r="AU671" s="18" t="s">
        <v>87</v>
      </c>
    </row>
    <row r="672" spans="2:65" s="1" customFormat="1" ht="16.5" customHeight="1">
      <c r="B672" s="128"/>
      <c r="C672" s="179" t="s">
        <v>2796</v>
      </c>
      <c r="D672" s="179" t="s">
        <v>484</v>
      </c>
      <c r="E672" s="180" t="s">
        <v>2797</v>
      </c>
      <c r="F672" s="181" t="s">
        <v>2798</v>
      </c>
      <c r="G672" s="182" t="s">
        <v>806</v>
      </c>
      <c r="H672" s="183">
        <v>87.782</v>
      </c>
      <c r="I672" s="184"/>
      <c r="J672" s="185">
        <f>ROUND(I672*H672,2)</f>
        <v>0</v>
      </c>
      <c r="K672" s="181" t="s">
        <v>184</v>
      </c>
      <c r="L672" s="186"/>
      <c r="M672" s="187" t="s">
        <v>3</v>
      </c>
      <c r="N672" s="188" t="s">
        <v>48</v>
      </c>
      <c r="P672" s="138">
        <f>O672*H672</f>
        <v>0</v>
      </c>
      <c r="Q672" s="138">
        <v>0.02</v>
      </c>
      <c r="R672" s="138">
        <f>Q672*H672</f>
        <v>1.7556399999999999</v>
      </c>
      <c r="S672" s="138">
        <v>0</v>
      </c>
      <c r="T672" s="139">
        <f>S672*H672</f>
        <v>0</v>
      </c>
      <c r="AR672" s="140" t="s">
        <v>537</v>
      </c>
      <c r="AT672" s="140" t="s">
        <v>484</v>
      </c>
      <c r="AU672" s="140" t="s">
        <v>87</v>
      </c>
      <c r="AY672" s="18" t="s">
        <v>177</v>
      </c>
      <c r="BE672" s="141">
        <f>IF(N672="základní",J672,0)</f>
        <v>0</v>
      </c>
      <c r="BF672" s="141">
        <f>IF(N672="snížená",J672,0)</f>
        <v>0</v>
      </c>
      <c r="BG672" s="141">
        <f>IF(N672="zákl. přenesená",J672,0)</f>
        <v>0</v>
      </c>
      <c r="BH672" s="141">
        <f>IF(N672="sníž. přenesená",J672,0)</f>
        <v>0</v>
      </c>
      <c r="BI672" s="141">
        <f>IF(N672="nulová",J672,0)</f>
        <v>0</v>
      </c>
      <c r="BJ672" s="18" t="s">
        <v>85</v>
      </c>
      <c r="BK672" s="141">
        <f>ROUND(I672*H672,2)</f>
        <v>0</v>
      </c>
      <c r="BL672" s="18" t="s">
        <v>237</v>
      </c>
      <c r="BM672" s="140" t="s">
        <v>2799</v>
      </c>
    </row>
    <row r="673" spans="2:47" s="1" customFormat="1" ht="11.25">
      <c r="B673" s="33"/>
      <c r="D673" s="142" t="s">
        <v>187</v>
      </c>
      <c r="F673" s="143" t="s">
        <v>2800</v>
      </c>
      <c r="I673" s="144"/>
      <c r="L673" s="33"/>
      <c r="M673" s="145"/>
      <c r="T673" s="54"/>
      <c r="AT673" s="18" t="s">
        <v>187</v>
      </c>
      <c r="AU673" s="18" t="s">
        <v>87</v>
      </c>
    </row>
    <row r="674" spans="2:51" s="12" customFormat="1" ht="11.25">
      <c r="B674" s="149"/>
      <c r="D674" s="142" t="s">
        <v>193</v>
      </c>
      <c r="E674" s="150" t="s">
        <v>3</v>
      </c>
      <c r="F674" s="151" t="s">
        <v>2801</v>
      </c>
      <c r="H674" s="152">
        <v>33.251</v>
      </c>
      <c r="I674" s="153"/>
      <c r="L674" s="149"/>
      <c r="M674" s="154"/>
      <c r="T674" s="155"/>
      <c r="AT674" s="150" t="s">
        <v>193</v>
      </c>
      <c r="AU674" s="150" t="s">
        <v>87</v>
      </c>
      <c r="AV674" s="12" t="s">
        <v>87</v>
      </c>
      <c r="AW674" s="12" t="s">
        <v>36</v>
      </c>
      <c r="AX674" s="12" t="s">
        <v>77</v>
      </c>
      <c r="AY674" s="150" t="s">
        <v>177</v>
      </c>
    </row>
    <row r="675" spans="2:51" s="12" customFormat="1" ht="11.25">
      <c r="B675" s="149"/>
      <c r="D675" s="142" t="s">
        <v>193</v>
      </c>
      <c r="E675" s="150" t="s">
        <v>3</v>
      </c>
      <c r="F675" s="151" t="s">
        <v>2802</v>
      </c>
      <c r="H675" s="152">
        <v>39.901</v>
      </c>
      <c r="I675" s="153"/>
      <c r="L675" s="149"/>
      <c r="M675" s="154"/>
      <c r="T675" s="155"/>
      <c r="AT675" s="150" t="s">
        <v>193</v>
      </c>
      <c r="AU675" s="150" t="s">
        <v>87</v>
      </c>
      <c r="AV675" s="12" t="s">
        <v>87</v>
      </c>
      <c r="AW675" s="12" t="s">
        <v>36</v>
      </c>
      <c r="AX675" s="12" t="s">
        <v>77</v>
      </c>
      <c r="AY675" s="150" t="s">
        <v>177</v>
      </c>
    </row>
    <row r="676" spans="2:51" s="15" customFormat="1" ht="11.25">
      <c r="B676" s="169"/>
      <c r="D676" s="142" t="s">
        <v>193</v>
      </c>
      <c r="E676" s="170" t="s">
        <v>3</v>
      </c>
      <c r="F676" s="171" t="s">
        <v>201</v>
      </c>
      <c r="H676" s="172">
        <v>73.152</v>
      </c>
      <c r="I676" s="173"/>
      <c r="L676" s="169"/>
      <c r="M676" s="174"/>
      <c r="T676" s="175"/>
      <c r="AT676" s="170" t="s">
        <v>193</v>
      </c>
      <c r="AU676" s="170" t="s">
        <v>87</v>
      </c>
      <c r="AV676" s="15" t="s">
        <v>185</v>
      </c>
      <c r="AW676" s="15" t="s">
        <v>36</v>
      </c>
      <c r="AX676" s="15" t="s">
        <v>85</v>
      </c>
      <c r="AY676" s="170" t="s">
        <v>177</v>
      </c>
    </row>
    <row r="677" spans="2:51" s="12" customFormat="1" ht="11.25">
      <c r="B677" s="149"/>
      <c r="D677" s="142" t="s">
        <v>193</v>
      </c>
      <c r="F677" s="151" t="s">
        <v>2803</v>
      </c>
      <c r="H677" s="152">
        <v>87.782</v>
      </c>
      <c r="I677" s="153"/>
      <c r="L677" s="149"/>
      <c r="M677" s="154"/>
      <c r="T677" s="155"/>
      <c r="AT677" s="150" t="s">
        <v>193</v>
      </c>
      <c r="AU677" s="150" t="s">
        <v>87</v>
      </c>
      <c r="AV677" s="12" t="s">
        <v>87</v>
      </c>
      <c r="AW677" s="12" t="s">
        <v>4</v>
      </c>
      <c r="AX677" s="12" t="s">
        <v>85</v>
      </c>
      <c r="AY677" s="150" t="s">
        <v>177</v>
      </c>
    </row>
    <row r="678" spans="2:65" s="1" customFormat="1" ht="24.2" customHeight="1">
      <c r="B678" s="128"/>
      <c r="C678" s="129" t="s">
        <v>2804</v>
      </c>
      <c r="D678" s="129" t="s">
        <v>180</v>
      </c>
      <c r="E678" s="130" t="s">
        <v>2805</v>
      </c>
      <c r="F678" s="131" t="s">
        <v>2806</v>
      </c>
      <c r="G678" s="132" t="s">
        <v>332</v>
      </c>
      <c r="H678" s="133">
        <v>332.508</v>
      </c>
      <c r="I678" s="134"/>
      <c r="J678" s="135">
        <f>ROUND(I678*H678,2)</f>
        <v>0</v>
      </c>
      <c r="K678" s="131" t="s">
        <v>184</v>
      </c>
      <c r="L678" s="33"/>
      <c r="M678" s="136" t="s">
        <v>3</v>
      </c>
      <c r="N678" s="137" t="s">
        <v>48</v>
      </c>
      <c r="P678" s="138">
        <f>O678*H678</f>
        <v>0</v>
      </c>
      <c r="Q678" s="138">
        <v>9.604E-05</v>
      </c>
      <c r="R678" s="138">
        <f>Q678*H678</f>
        <v>0.031934068319999995</v>
      </c>
      <c r="S678" s="138">
        <v>0</v>
      </c>
      <c r="T678" s="139">
        <f>S678*H678</f>
        <v>0</v>
      </c>
      <c r="AR678" s="140" t="s">
        <v>237</v>
      </c>
      <c r="AT678" s="140" t="s">
        <v>180</v>
      </c>
      <c r="AU678" s="140" t="s">
        <v>87</v>
      </c>
      <c r="AY678" s="18" t="s">
        <v>177</v>
      </c>
      <c r="BE678" s="141">
        <f>IF(N678="základní",J678,0)</f>
        <v>0</v>
      </c>
      <c r="BF678" s="141">
        <f>IF(N678="snížená",J678,0)</f>
        <v>0</v>
      </c>
      <c r="BG678" s="141">
        <f>IF(N678="zákl. přenesená",J678,0)</f>
        <v>0</v>
      </c>
      <c r="BH678" s="141">
        <f>IF(N678="sníž. přenesená",J678,0)</f>
        <v>0</v>
      </c>
      <c r="BI678" s="141">
        <f>IF(N678="nulová",J678,0)</f>
        <v>0</v>
      </c>
      <c r="BJ678" s="18" t="s">
        <v>85</v>
      </c>
      <c r="BK678" s="141">
        <f>ROUND(I678*H678,2)</f>
        <v>0</v>
      </c>
      <c r="BL678" s="18" t="s">
        <v>237</v>
      </c>
      <c r="BM678" s="140" t="s">
        <v>2807</v>
      </c>
    </row>
    <row r="679" spans="2:47" s="1" customFormat="1" ht="29.25">
      <c r="B679" s="33"/>
      <c r="D679" s="142" t="s">
        <v>187</v>
      </c>
      <c r="F679" s="143" t="s">
        <v>2808</v>
      </c>
      <c r="I679" s="144"/>
      <c r="L679" s="33"/>
      <c r="M679" s="145"/>
      <c r="T679" s="54"/>
      <c r="AT679" s="18" t="s">
        <v>187</v>
      </c>
      <c r="AU679" s="18" t="s">
        <v>87</v>
      </c>
    </row>
    <row r="680" spans="2:47" s="1" customFormat="1" ht="11.25">
      <c r="B680" s="33"/>
      <c r="D680" s="146" t="s">
        <v>189</v>
      </c>
      <c r="F680" s="147" t="s">
        <v>2809</v>
      </c>
      <c r="I680" s="144"/>
      <c r="L680" s="33"/>
      <c r="M680" s="145"/>
      <c r="T680" s="54"/>
      <c r="AT680" s="18" t="s">
        <v>189</v>
      </c>
      <c r="AU680" s="18" t="s">
        <v>87</v>
      </c>
    </row>
    <row r="681" spans="2:47" s="1" customFormat="1" ht="165.75">
      <c r="B681" s="33"/>
      <c r="D681" s="142" t="s">
        <v>191</v>
      </c>
      <c r="F681" s="148" t="s">
        <v>2787</v>
      </c>
      <c r="I681" s="144"/>
      <c r="L681" s="33"/>
      <c r="M681" s="145"/>
      <c r="T681" s="54"/>
      <c r="AT681" s="18" t="s">
        <v>191</v>
      </c>
      <c r="AU681" s="18" t="s">
        <v>87</v>
      </c>
    </row>
    <row r="682" spans="2:65" s="1" customFormat="1" ht="33" customHeight="1">
      <c r="B682" s="128"/>
      <c r="C682" s="129" t="s">
        <v>2810</v>
      </c>
      <c r="D682" s="129" t="s">
        <v>180</v>
      </c>
      <c r="E682" s="130" t="s">
        <v>2811</v>
      </c>
      <c r="F682" s="131" t="s">
        <v>2812</v>
      </c>
      <c r="G682" s="132" t="s">
        <v>332</v>
      </c>
      <c r="H682" s="133">
        <v>79.5</v>
      </c>
      <c r="I682" s="134"/>
      <c r="J682" s="135">
        <f>ROUND(I682*H682,2)</f>
        <v>0</v>
      </c>
      <c r="K682" s="131" t="s">
        <v>184</v>
      </c>
      <c r="L682" s="33"/>
      <c r="M682" s="136" t="s">
        <v>3</v>
      </c>
      <c r="N682" s="137" t="s">
        <v>48</v>
      </c>
      <c r="P682" s="138">
        <f>O682*H682</f>
        <v>0</v>
      </c>
      <c r="Q682" s="138">
        <v>0.000187</v>
      </c>
      <c r="R682" s="138">
        <f>Q682*H682</f>
        <v>0.0148665</v>
      </c>
      <c r="S682" s="138">
        <v>0</v>
      </c>
      <c r="T682" s="139">
        <f>S682*H682</f>
        <v>0</v>
      </c>
      <c r="AR682" s="140" t="s">
        <v>237</v>
      </c>
      <c r="AT682" s="140" t="s">
        <v>180</v>
      </c>
      <c r="AU682" s="140" t="s">
        <v>87</v>
      </c>
      <c r="AY682" s="18" t="s">
        <v>177</v>
      </c>
      <c r="BE682" s="141">
        <f>IF(N682="základní",J682,0)</f>
        <v>0</v>
      </c>
      <c r="BF682" s="141">
        <f>IF(N682="snížená",J682,0)</f>
        <v>0</v>
      </c>
      <c r="BG682" s="141">
        <f>IF(N682="zákl. přenesená",J682,0)</f>
        <v>0</v>
      </c>
      <c r="BH682" s="141">
        <f>IF(N682="sníž. přenesená",J682,0)</f>
        <v>0</v>
      </c>
      <c r="BI682" s="141">
        <f>IF(N682="nulová",J682,0)</f>
        <v>0</v>
      </c>
      <c r="BJ682" s="18" t="s">
        <v>85</v>
      </c>
      <c r="BK682" s="141">
        <f>ROUND(I682*H682,2)</f>
        <v>0</v>
      </c>
      <c r="BL682" s="18" t="s">
        <v>237</v>
      </c>
      <c r="BM682" s="140" t="s">
        <v>2813</v>
      </c>
    </row>
    <row r="683" spans="2:47" s="1" customFormat="1" ht="29.25">
      <c r="B683" s="33"/>
      <c r="D683" s="142" t="s">
        <v>187</v>
      </c>
      <c r="F683" s="143" t="s">
        <v>2814</v>
      </c>
      <c r="I683" s="144"/>
      <c r="L683" s="33"/>
      <c r="M683" s="145"/>
      <c r="T683" s="54"/>
      <c r="AT683" s="18" t="s">
        <v>187</v>
      </c>
      <c r="AU683" s="18" t="s">
        <v>87</v>
      </c>
    </row>
    <row r="684" spans="2:47" s="1" customFormat="1" ht="11.25">
      <c r="B684" s="33"/>
      <c r="D684" s="146" t="s">
        <v>189</v>
      </c>
      <c r="F684" s="147" t="s">
        <v>2815</v>
      </c>
      <c r="I684" s="144"/>
      <c r="L684" s="33"/>
      <c r="M684" s="145"/>
      <c r="T684" s="54"/>
      <c r="AT684" s="18" t="s">
        <v>189</v>
      </c>
      <c r="AU684" s="18" t="s">
        <v>87</v>
      </c>
    </row>
    <row r="685" spans="2:47" s="1" customFormat="1" ht="165.75">
      <c r="B685" s="33"/>
      <c r="D685" s="142" t="s">
        <v>191</v>
      </c>
      <c r="F685" s="148" t="s">
        <v>2787</v>
      </c>
      <c r="I685" s="144"/>
      <c r="L685" s="33"/>
      <c r="M685" s="145"/>
      <c r="T685" s="54"/>
      <c r="AT685" s="18" t="s">
        <v>191</v>
      </c>
      <c r="AU685" s="18" t="s">
        <v>87</v>
      </c>
    </row>
    <row r="686" spans="2:65" s="1" customFormat="1" ht="24.2" customHeight="1">
      <c r="B686" s="128"/>
      <c r="C686" s="179" t="s">
        <v>2816</v>
      </c>
      <c r="D686" s="179" t="s">
        <v>484</v>
      </c>
      <c r="E686" s="180" t="s">
        <v>2789</v>
      </c>
      <c r="F686" s="181" t="s">
        <v>2790</v>
      </c>
      <c r="G686" s="182" t="s">
        <v>332</v>
      </c>
      <c r="H686" s="183">
        <v>58.428</v>
      </c>
      <c r="I686" s="184"/>
      <c r="J686" s="185">
        <f>ROUND(I686*H686,2)</f>
        <v>0</v>
      </c>
      <c r="K686" s="181" t="s">
        <v>184</v>
      </c>
      <c r="L686" s="186"/>
      <c r="M686" s="187" t="s">
        <v>3</v>
      </c>
      <c r="N686" s="188" t="s">
        <v>48</v>
      </c>
      <c r="P686" s="138">
        <f>O686*H686</f>
        <v>0</v>
      </c>
      <c r="Q686" s="138">
        <v>0.00313</v>
      </c>
      <c r="R686" s="138">
        <f>Q686*H686</f>
        <v>0.18287963999999998</v>
      </c>
      <c r="S686" s="138">
        <v>0</v>
      </c>
      <c r="T686" s="139">
        <f>S686*H686</f>
        <v>0</v>
      </c>
      <c r="AR686" s="140" t="s">
        <v>537</v>
      </c>
      <c r="AT686" s="140" t="s">
        <v>484</v>
      </c>
      <c r="AU686" s="140" t="s">
        <v>87</v>
      </c>
      <c r="AY686" s="18" t="s">
        <v>177</v>
      </c>
      <c r="BE686" s="141">
        <f>IF(N686="základní",J686,0)</f>
        <v>0</v>
      </c>
      <c r="BF686" s="141">
        <f>IF(N686="snížená",J686,0)</f>
        <v>0</v>
      </c>
      <c r="BG686" s="141">
        <f>IF(N686="zákl. přenesená",J686,0)</f>
        <v>0</v>
      </c>
      <c r="BH686" s="141">
        <f>IF(N686="sníž. přenesená",J686,0)</f>
        <v>0</v>
      </c>
      <c r="BI686" s="141">
        <f>IF(N686="nulová",J686,0)</f>
        <v>0</v>
      </c>
      <c r="BJ686" s="18" t="s">
        <v>85</v>
      </c>
      <c r="BK686" s="141">
        <f>ROUND(I686*H686,2)</f>
        <v>0</v>
      </c>
      <c r="BL686" s="18" t="s">
        <v>237</v>
      </c>
      <c r="BM686" s="140" t="s">
        <v>2817</v>
      </c>
    </row>
    <row r="687" spans="2:47" s="1" customFormat="1" ht="11.25">
      <c r="B687" s="33"/>
      <c r="D687" s="142" t="s">
        <v>187</v>
      </c>
      <c r="F687" s="143" t="s">
        <v>2792</v>
      </c>
      <c r="I687" s="144"/>
      <c r="L687" s="33"/>
      <c r="M687" s="145"/>
      <c r="T687" s="54"/>
      <c r="AT687" s="18" t="s">
        <v>187</v>
      </c>
      <c r="AU687" s="18" t="s">
        <v>87</v>
      </c>
    </row>
    <row r="688" spans="2:51" s="12" customFormat="1" ht="11.25">
      <c r="B688" s="149"/>
      <c r="D688" s="142" t="s">
        <v>193</v>
      </c>
      <c r="E688" s="150" t="s">
        <v>3</v>
      </c>
      <c r="F688" s="151" t="s">
        <v>2818</v>
      </c>
      <c r="H688" s="152">
        <v>53.116</v>
      </c>
      <c r="I688" s="153"/>
      <c r="L688" s="149"/>
      <c r="M688" s="154"/>
      <c r="T688" s="155"/>
      <c r="AT688" s="150" t="s">
        <v>193</v>
      </c>
      <c r="AU688" s="150" t="s">
        <v>87</v>
      </c>
      <c r="AV688" s="12" t="s">
        <v>87</v>
      </c>
      <c r="AW688" s="12" t="s">
        <v>36</v>
      </c>
      <c r="AX688" s="12" t="s">
        <v>85</v>
      </c>
      <c r="AY688" s="150" t="s">
        <v>177</v>
      </c>
    </row>
    <row r="689" spans="2:51" s="12" customFormat="1" ht="11.25">
      <c r="B689" s="149"/>
      <c r="D689" s="142" t="s">
        <v>193</v>
      </c>
      <c r="F689" s="151" t="s">
        <v>2819</v>
      </c>
      <c r="H689" s="152">
        <v>58.428</v>
      </c>
      <c r="I689" s="153"/>
      <c r="L689" s="149"/>
      <c r="M689" s="154"/>
      <c r="T689" s="155"/>
      <c r="AT689" s="150" t="s">
        <v>193</v>
      </c>
      <c r="AU689" s="150" t="s">
        <v>87</v>
      </c>
      <c r="AV689" s="12" t="s">
        <v>87</v>
      </c>
      <c r="AW689" s="12" t="s">
        <v>4</v>
      </c>
      <c r="AX689" s="12" t="s">
        <v>85</v>
      </c>
      <c r="AY689" s="150" t="s">
        <v>177</v>
      </c>
    </row>
    <row r="690" spans="2:65" s="1" customFormat="1" ht="24.2" customHeight="1">
      <c r="B690" s="128"/>
      <c r="C690" s="179" t="s">
        <v>2820</v>
      </c>
      <c r="D690" s="179" t="s">
        <v>484</v>
      </c>
      <c r="E690" s="180" t="s">
        <v>2821</v>
      </c>
      <c r="F690" s="181" t="s">
        <v>2822</v>
      </c>
      <c r="G690" s="182" t="s">
        <v>332</v>
      </c>
      <c r="H690" s="183">
        <v>29.022</v>
      </c>
      <c r="I690" s="184"/>
      <c r="J690" s="185">
        <f>ROUND(I690*H690,2)</f>
        <v>0</v>
      </c>
      <c r="K690" s="181" t="s">
        <v>184</v>
      </c>
      <c r="L690" s="186"/>
      <c r="M690" s="187" t="s">
        <v>3</v>
      </c>
      <c r="N690" s="188" t="s">
        <v>48</v>
      </c>
      <c r="P690" s="138">
        <f>O690*H690</f>
        <v>0</v>
      </c>
      <c r="Q690" s="138">
        <v>0.002</v>
      </c>
      <c r="R690" s="138">
        <f>Q690*H690</f>
        <v>0.058044</v>
      </c>
      <c r="S690" s="138">
        <v>0</v>
      </c>
      <c r="T690" s="139">
        <f>S690*H690</f>
        <v>0</v>
      </c>
      <c r="AR690" s="140" t="s">
        <v>537</v>
      </c>
      <c r="AT690" s="140" t="s">
        <v>484</v>
      </c>
      <c r="AU690" s="140" t="s">
        <v>87</v>
      </c>
      <c r="AY690" s="18" t="s">
        <v>177</v>
      </c>
      <c r="BE690" s="141">
        <f>IF(N690="základní",J690,0)</f>
        <v>0</v>
      </c>
      <c r="BF690" s="141">
        <f>IF(N690="snížená",J690,0)</f>
        <v>0</v>
      </c>
      <c r="BG690" s="141">
        <f>IF(N690="zákl. přenesená",J690,0)</f>
        <v>0</v>
      </c>
      <c r="BH690" s="141">
        <f>IF(N690="sníž. přenesená",J690,0)</f>
        <v>0</v>
      </c>
      <c r="BI690" s="141">
        <f>IF(N690="nulová",J690,0)</f>
        <v>0</v>
      </c>
      <c r="BJ690" s="18" t="s">
        <v>85</v>
      </c>
      <c r="BK690" s="141">
        <f>ROUND(I690*H690,2)</f>
        <v>0</v>
      </c>
      <c r="BL690" s="18" t="s">
        <v>237</v>
      </c>
      <c r="BM690" s="140" t="s">
        <v>2823</v>
      </c>
    </row>
    <row r="691" spans="2:47" s="1" customFormat="1" ht="11.25">
      <c r="B691" s="33"/>
      <c r="D691" s="142" t="s">
        <v>187</v>
      </c>
      <c r="F691" s="143" t="s">
        <v>2824</v>
      </c>
      <c r="I691" s="144"/>
      <c r="L691" s="33"/>
      <c r="M691" s="145"/>
      <c r="T691" s="54"/>
      <c r="AT691" s="18" t="s">
        <v>187</v>
      </c>
      <c r="AU691" s="18" t="s">
        <v>87</v>
      </c>
    </row>
    <row r="692" spans="2:51" s="12" customFormat="1" ht="11.25">
      <c r="B692" s="149"/>
      <c r="D692" s="142" t="s">
        <v>193</v>
      </c>
      <c r="E692" s="150" t="s">
        <v>3</v>
      </c>
      <c r="F692" s="151" t="s">
        <v>2825</v>
      </c>
      <c r="H692" s="152">
        <v>26.384</v>
      </c>
      <c r="I692" s="153"/>
      <c r="L692" s="149"/>
      <c r="M692" s="154"/>
      <c r="T692" s="155"/>
      <c r="AT692" s="150" t="s">
        <v>193</v>
      </c>
      <c r="AU692" s="150" t="s">
        <v>87</v>
      </c>
      <c r="AV692" s="12" t="s">
        <v>87</v>
      </c>
      <c r="AW692" s="12" t="s">
        <v>36</v>
      </c>
      <c r="AX692" s="12" t="s">
        <v>85</v>
      </c>
      <c r="AY692" s="150" t="s">
        <v>177</v>
      </c>
    </row>
    <row r="693" spans="2:51" s="12" customFormat="1" ht="11.25">
      <c r="B693" s="149"/>
      <c r="D693" s="142" t="s">
        <v>193</v>
      </c>
      <c r="F693" s="151" t="s">
        <v>2826</v>
      </c>
      <c r="H693" s="152">
        <v>29.022</v>
      </c>
      <c r="I693" s="153"/>
      <c r="L693" s="149"/>
      <c r="M693" s="154"/>
      <c r="T693" s="155"/>
      <c r="AT693" s="150" t="s">
        <v>193</v>
      </c>
      <c r="AU693" s="150" t="s">
        <v>87</v>
      </c>
      <c r="AV693" s="12" t="s">
        <v>87</v>
      </c>
      <c r="AW693" s="12" t="s">
        <v>4</v>
      </c>
      <c r="AX693" s="12" t="s">
        <v>85</v>
      </c>
      <c r="AY693" s="150" t="s">
        <v>177</v>
      </c>
    </row>
    <row r="694" spans="2:65" s="1" customFormat="1" ht="24.2" customHeight="1">
      <c r="B694" s="128"/>
      <c r="C694" s="129" t="s">
        <v>2827</v>
      </c>
      <c r="D694" s="129" t="s">
        <v>180</v>
      </c>
      <c r="E694" s="130" t="s">
        <v>787</v>
      </c>
      <c r="F694" s="131" t="s">
        <v>788</v>
      </c>
      <c r="G694" s="132" t="s">
        <v>183</v>
      </c>
      <c r="H694" s="133">
        <v>3.959</v>
      </c>
      <c r="I694" s="134"/>
      <c r="J694" s="135">
        <f>ROUND(I694*H694,2)</f>
        <v>0</v>
      </c>
      <c r="K694" s="131" t="s">
        <v>184</v>
      </c>
      <c r="L694" s="33"/>
      <c r="M694" s="136" t="s">
        <v>3</v>
      </c>
      <c r="N694" s="137" t="s">
        <v>48</v>
      </c>
      <c r="P694" s="138">
        <f>O694*H694</f>
        <v>0</v>
      </c>
      <c r="Q694" s="138">
        <v>0</v>
      </c>
      <c r="R694" s="138">
        <f>Q694*H694</f>
        <v>0</v>
      </c>
      <c r="S694" s="138">
        <v>0</v>
      </c>
      <c r="T694" s="139">
        <f>S694*H694</f>
        <v>0</v>
      </c>
      <c r="AR694" s="140" t="s">
        <v>237</v>
      </c>
      <c r="AT694" s="140" t="s">
        <v>180</v>
      </c>
      <c r="AU694" s="140" t="s">
        <v>87</v>
      </c>
      <c r="AY694" s="18" t="s">
        <v>177</v>
      </c>
      <c r="BE694" s="141">
        <f>IF(N694="základní",J694,0)</f>
        <v>0</v>
      </c>
      <c r="BF694" s="141">
        <f>IF(N694="snížená",J694,0)</f>
        <v>0</v>
      </c>
      <c r="BG694" s="141">
        <f>IF(N694="zákl. přenesená",J694,0)</f>
        <v>0</v>
      </c>
      <c r="BH694" s="141">
        <f>IF(N694="sníž. přenesená",J694,0)</f>
        <v>0</v>
      </c>
      <c r="BI694" s="141">
        <f>IF(N694="nulová",J694,0)</f>
        <v>0</v>
      </c>
      <c r="BJ694" s="18" t="s">
        <v>85</v>
      </c>
      <c r="BK694" s="141">
        <f>ROUND(I694*H694,2)</f>
        <v>0</v>
      </c>
      <c r="BL694" s="18" t="s">
        <v>237</v>
      </c>
      <c r="BM694" s="140" t="s">
        <v>2828</v>
      </c>
    </row>
    <row r="695" spans="2:47" s="1" customFormat="1" ht="29.25">
      <c r="B695" s="33"/>
      <c r="D695" s="142" t="s">
        <v>187</v>
      </c>
      <c r="F695" s="143" t="s">
        <v>790</v>
      </c>
      <c r="I695" s="144"/>
      <c r="L695" s="33"/>
      <c r="M695" s="145"/>
      <c r="T695" s="54"/>
      <c r="AT695" s="18" t="s">
        <v>187</v>
      </c>
      <c r="AU695" s="18" t="s">
        <v>87</v>
      </c>
    </row>
    <row r="696" spans="2:47" s="1" customFormat="1" ht="11.25">
      <c r="B696" s="33"/>
      <c r="D696" s="146" t="s">
        <v>189</v>
      </c>
      <c r="F696" s="147" t="s">
        <v>791</v>
      </c>
      <c r="I696" s="144"/>
      <c r="L696" s="33"/>
      <c r="M696" s="145"/>
      <c r="T696" s="54"/>
      <c r="AT696" s="18" t="s">
        <v>189</v>
      </c>
      <c r="AU696" s="18" t="s">
        <v>87</v>
      </c>
    </row>
    <row r="697" spans="2:47" s="1" customFormat="1" ht="126.75">
      <c r="B697" s="33"/>
      <c r="D697" s="142" t="s">
        <v>191</v>
      </c>
      <c r="F697" s="148" t="s">
        <v>792</v>
      </c>
      <c r="I697" s="144"/>
      <c r="L697" s="33"/>
      <c r="M697" s="145"/>
      <c r="T697" s="54"/>
      <c r="AT697" s="18" t="s">
        <v>191</v>
      </c>
      <c r="AU697" s="18" t="s">
        <v>87</v>
      </c>
    </row>
    <row r="698" spans="2:65" s="1" customFormat="1" ht="24.2" customHeight="1">
      <c r="B698" s="128"/>
      <c r="C698" s="129" t="s">
        <v>2829</v>
      </c>
      <c r="D698" s="129" t="s">
        <v>180</v>
      </c>
      <c r="E698" s="130" t="s">
        <v>794</v>
      </c>
      <c r="F698" s="131" t="s">
        <v>795</v>
      </c>
      <c r="G698" s="132" t="s">
        <v>183</v>
      </c>
      <c r="H698" s="133">
        <v>3.959</v>
      </c>
      <c r="I698" s="134"/>
      <c r="J698" s="135">
        <f>ROUND(I698*H698,2)</f>
        <v>0</v>
      </c>
      <c r="K698" s="131" t="s">
        <v>184</v>
      </c>
      <c r="L698" s="33"/>
      <c r="M698" s="136" t="s">
        <v>3</v>
      </c>
      <c r="N698" s="137" t="s">
        <v>48</v>
      </c>
      <c r="P698" s="138">
        <f>O698*H698</f>
        <v>0</v>
      </c>
      <c r="Q698" s="138">
        <v>0</v>
      </c>
      <c r="R698" s="138">
        <f>Q698*H698</f>
        <v>0</v>
      </c>
      <c r="S698" s="138">
        <v>0</v>
      </c>
      <c r="T698" s="139">
        <f>S698*H698</f>
        <v>0</v>
      </c>
      <c r="AR698" s="140" t="s">
        <v>237</v>
      </c>
      <c r="AT698" s="140" t="s">
        <v>180</v>
      </c>
      <c r="AU698" s="140" t="s">
        <v>87</v>
      </c>
      <c r="AY698" s="18" t="s">
        <v>177</v>
      </c>
      <c r="BE698" s="141">
        <f>IF(N698="základní",J698,0)</f>
        <v>0</v>
      </c>
      <c r="BF698" s="141">
        <f>IF(N698="snížená",J698,0)</f>
        <v>0</v>
      </c>
      <c r="BG698" s="141">
        <f>IF(N698="zákl. přenesená",J698,0)</f>
        <v>0</v>
      </c>
      <c r="BH698" s="141">
        <f>IF(N698="sníž. přenesená",J698,0)</f>
        <v>0</v>
      </c>
      <c r="BI698" s="141">
        <f>IF(N698="nulová",J698,0)</f>
        <v>0</v>
      </c>
      <c r="BJ698" s="18" t="s">
        <v>85</v>
      </c>
      <c r="BK698" s="141">
        <f>ROUND(I698*H698,2)</f>
        <v>0</v>
      </c>
      <c r="BL698" s="18" t="s">
        <v>237</v>
      </c>
      <c r="BM698" s="140" t="s">
        <v>2830</v>
      </c>
    </row>
    <row r="699" spans="2:47" s="1" customFormat="1" ht="29.25">
      <c r="B699" s="33"/>
      <c r="D699" s="142" t="s">
        <v>187</v>
      </c>
      <c r="F699" s="143" t="s">
        <v>797</v>
      </c>
      <c r="I699" s="144"/>
      <c r="L699" s="33"/>
      <c r="M699" s="145"/>
      <c r="T699" s="54"/>
      <c r="AT699" s="18" t="s">
        <v>187</v>
      </c>
      <c r="AU699" s="18" t="s">
        <v>87</v>
      </c>
    </row>
    <row r="700" spans="2:47" s="1" customFormat="1" ht="11.25">
      <c r="B700" s="33"/>
      <c r="D700" s="146" t="s">
        <v>189</v>
      </c>
      <c r="F700" s="147" t="s">
        <v>798</v>
      </c>
      <c r="I700" s="144"/>
      <c r="L700" s="33"/>
      <c r="M700" s="145"/>
      <c r="T700" s="54"/>
      <c r="AT700" s="18" t="s">
        <v>189</v>
      </c>
      <c r="AU700" s="18" t="s">
        <v>87</v>
      </c>
    </row>
    <row r="701" spans="2:47" s="1" customFormat="1" ht="126.75">
      <c r="B701" s="33"/>
      <c r="D701" s="142" t="s">
        <v>191</v>
      </c>
      <c r="F701" s="148" t="s">
        <v>792</v>
      </c>
      <c r="I701" s="144"/>
      <c r="L701" s="33"/>
      <c r="M701" s="145"/>
      <c r="T701" s="54"/>
      <c r="AT701" s="18" t="s">
        <v>191</v>
      </c>
      <c r="AU701" s="18" t="s">
        <v>87</v>
      </c>
    </row>
    <row r="702" spans="2:63" s="11" customFormat="1" ht="22.9" customHeight="1">
      <c r="B702" s="116"/>
      <c r="D702" s="117" t="s">
        <v>76</v>
      </c>
      <c r="E702" s="126" t="s">
        <v>231</v>
      </c>
      <c r="F702" s="126" t="s">
        <v>232</v>
      </c>
      <c r="I702" s="119"/>
      <c r="J702" s="127">
        <f>BK702</f>
        <v>0</v>
      </c>
      <c r="L702" s="116"/>
      <c r="M702" s="121"/>
      <c r="P702" s="122">
        <f>SUM(P703:P713)</f>
        <v>0</v>
      </c>
      <c r="R702" s="122">
        <f>SUM(R703:R713)</f>
        <v>0.00486</v>
      </c>
      <c r="T702" s="123">
        <f>SUM(T703:T713)</f>
        <v>0</v>
      </c>
      <c r="AR702" s="117" t="s">
        <v>87</v>
      </c>
      <c r="AT702" s="124" t="s">
        <v>76</v>
      </c>
      <c r="AU702" s="124" t="s">
        <v>85</v>
      </c>
      <c r="AY702" s="117" t="s">
        <v>177</v>
      </c>
      <c r="BK702" s="125">
        <f>SUM(BK703:BK713)</f>
        <v>0</v>
      </c>
    </row>
    <row r="703" spans="2:65" s="1" customFormat="1" ht="24.2" customHeight="1">
      <c r="B703" s="128"/>
      <c r="C703" s="129" t="s">
        <v>2831</v>
      </c>
      <c r="D703" s="129" t="s">
        <v>180</v>
      </c>
      <c r="E703" s="130" t="s">
        <v>2832</v>
      </c>
      <c r="F703" s="131" t="s">
        <v>2833</v>
      </c>
      <c r="G703" s="132" t="s">
        <v>236</v>
      </c>
      <c r="H703" s="133">
        <v>2</v>
      </c>
      <c r="I703" s="134"/>
      <c r="J703" s="135">
        <f>ROUND(I703*H703,2)</f>
        <v>0</v>
      </c>
      <c r="K703" s="131" t="s">
        <v>184</v>
      </c>
      <c r="L703" s="33"/>
      <c r="M703" s="136" t="s">
        <v>3</v>
      </c>
      <c r="N703" s="137" t="s">
        <v>48</v>
      </c>
      <c r="P703" s="138">
        <f>O703*H703</f>
        <v>0</v>
      </c>
      <c r="Q703" s="138">
        <v>0.00243</v>
      </c>
      <c r="R703" s="138">
        <f>Q703*H703</f>
        <v>0.00486</v>
      </c>
      <c r="S703" s="138">
        <v>0</v>
      </c>
      <c r="T703" s="139">
        <f>S703*H703</f>
        <v>0</v>
      </c>
      <c r="AR703" s="140" t="s">
        <v>237</v>
      </c>
      <c r="AT703" s="140" t="s">
        <v>180</v>
      </c>
      <c r="AU703" s="140" t="s">
        <v>87</v>
      </c>
      <c r="AY703" s="18" t="s">
        <v>177</v>
      </c>
      <c r="BE703" s="141">
        <f>IF(N703="základní",J703,0)</f>
        <v>0</v>
      </c>
      <c r="BF703" s="141">
        <f>IF(N703="snížená",J703,0)</f>
        <v>0</v>
      </c>
      <c r="BG703" s="141">
        <f>IF(N703="zákl. přenesená",J703,0)</f>
        <v>0</v>
      </c>
      <c r="BH703" s="141">
        <f>IF(N703="sníž. přenesená",J703,0)</f>
        <v>0</v>
      </c>
      <c r="BI703" s="141">
        <f>IF(N703="nulová",J703,0)</f>
        <v>0</v>
      </c>
      <c r="BJ703" s="18" t="s">
        <v>85</v>
      </c>
      <c r="BK703" s="141">
        <f>ROUND(I703*H703,2)</f>
        <v>0</v>
      </c>
      <c r="BL703" s="18" t="s">
        <v>237</v>
      </c>
      <c r="BM703" s="140" t="s">
        <v>2834</v>
      </c>
    </row>
    <row r="704" spans="2:47" s="1" customFormat="1" ht="19.5">
      <c r="B704" s="33"/>
      <c r="D704" s="142" t="s">
        <v>187</v>
      </c>
      <c r="F704" s="143" t="s">
        <v>2835</v>
      </c>
      <c r="I704" s="144"/>
      <c r="L704" s="33"/>
      <c r="M704" s="145"/>
      <c r="T704" s="54"/>
      <c r="AT704" s="18" t="s">
        <v>187</v>
      </c>
      <c r="AU704" s="18" t="s">
        <v>87</v>
      </c>
    </row>
    <row r="705" spans="2:47" s="1" customFormat="1" ht="11.25">
      <c r="B705" s="33"/>
      <c r="D705" s="146" t="s">
        <v>189</v>
      </c>
      <c r="F705" s="147" t="s">
        <v>2836</v>
      </c>
      <c r="I705" s="144"/>
      <c r="L705" s="33"/>
      <c r="M705" s="145"/>
      <c r="T705" s="54"/>
      <c r="AT705" s="18" t="s">
        <v>189</v>
      </c>
      <c r="AU705" s="18" t="s">
        <v>87</v>
      </c>
    </row>
    <row r="706" spans="2:65" s="1" customFormat="1" ht="24.2" customHeight="1">
      <c r="B706" s="128"/>
      <c r="C706" s="129" t="s">
        <v>2837</v>
      </c>
      <c r="D706" s="129" t="s">
        <v>180</v>
      </c>
      <c r="E706" s="130" t="s">
        <v>2838</v>
      </c>
      <c r="F706" s="131" t="s">
        <v>2839</v>
      </c>
      <c r="G706" s="132" t="s">
        <v>183</v>
      </c>
      <c r="H706" s="133">
        <v>0.005</v>
      </c>
      <c r="I706" s="134"/>
      <c r="J706" s="135">
        <f>ROUND(I706*H706,2)</f>
        <v>0</v>
      </c>
      <c r="K706" s="131" t="s">
        <v>184</v>
      </c>
      <c r="L706" s="33"/>
      <c r="M706" s="136" t="s">
        <v>3</v>
      </c>
      <c r="N706" s="137" t="s">
        <v>48</v>
      </c>
      <c r="P706" s="138">
        <f>O706*H706</f>
        <v>0</v>
      </c>
      <c r="Q706" s="138">
        <v>0</v>
      </c>
      <c r="R706" s="138">
        <f>Q706*H706</f>
        <v>0</v>
      </c>
      <c r="S706" s="138">
        <v>0</v>
      </c>
      <c r="T706" s="139">
        <f>S706*H706</f>
        <v>0</v>
      </c>
      <c r="AR706" s="140" t="s">
        <v>237</v>
      </c>
      <c r="AT706" s="140" t="s">
        <v>180</v>
      </c>
      <c r="AU706" s="140" t="s">
        <v>87</v>
      </c>
      <c r="AY706" s="18" t="s">
        <v>177</v>
      </c>
      <c r="BE706" s="141">
        <f>IF(N706="základní",J706,0)</f>
        <v>0</v>
      </c>
      <c r="BF706" s="141">
        <f>IF(N706="snížená",J706,0)</f>
        <v>0</v>
      </c>
      <c r="BG706" s="141">
        <f>IF(N706="zákl. přenesená",J706,0)</f>
        <v>0</v>
      </c>
      <c r="BH706" s="141">
        <f>IF(N706="sníž. přenesená",J706,0)</f>
        <v>0</v>
      </c>
      <c r="BI706" s="141">
        <f>IF(N706="nulová",J706,0)</f>
        <v>0</v>
      </c>
      <c r="BJ706" s="18" t="s">
        <v>85</v>
      </c>
      <c r="BK706" s="141">
        <f>ROUND(I706*H706,2)</f>
        <v>0</v>
      </c>
      <c r="BL706" s="18" t="s">
        <v>237</v>
      </c>
      <c r="BM706" s="140" t="s">
        <v>2840</v>
      </c>
    </row>
    <row r="707" spans="2:47" s="1" customFormat="1" ht="29.25">
      <c r="B707" s="33"/>
      <c r="D707" s="142" t="s">
        <v>187</v>
      </c>
      <c r="F707" s="143" t="s">
        <v>2841</v>
      </c>
      <c r="I707" s="144"/>
      <c r="L707" s="33"/>
      <c r="M707" s="145"/>
      <c r="T707" s="54"/>
      <c r="AT707" s="18" t="s">
        <v>187</v>
      </c>
      <c r="AU707" s="18" t="s">
        <v>87</v>
      </c>
    </row>
    <row r="708" spans="2:47" s="1" customFormat="1" ht="11.25">
      <c r="B708" s="33"/>
      <c r="D708" s="146" t="s">
        <v>189</v>
      </c>
      <c r="F708" s="147" t="s">
        <v>2842</v>
      </c>
      <c r="I708" s="144"/>
      <c r="L708" s="33"/>
      <c r="M708" s="145"/>
      <c r="T708" s="54"/>
      <c r="AT708" s="18" t="s">
        <v>189</v>
      </c>
      <c r="AU708" s="18" t="s">
        <v>87</v>
      </c>
    </row>
    <row r="709" spans="2:47" s="1" customFormat="1" ht="126.75">
      <c r="B709" s="33"/>
      <c r="D709" s="142" t="s">
        <v>191</v>
      </c>
      <c r="F709" s="148" t="s">
        <v>762</v>
      </c>
      <c r="I709" s="144"/>
      <c r="L709" s="33"/>
      <c r="M709" s="145"/>
      <c r="T709" s="54"/>
      <c r="AT709" s="18" t="s">
        <v>191</v>
      </c>
      <c r="AU709" s="18" t="s">
        <v>87</v>
      </c>
    </row>
    <row r="710" spans="2:65" s="1" customFormat="1" ht="24.2" customHeight="1">
      <c r="B710" s="128"/>
      <c r="C710" s="129" t="s">
        <v>2843</v>
      </c>
      <c r="D710" s="129" t="s">
        <v>180</v>
      </c>
      <c r="E710" s="130" t="s">
        <v>2844</v>
      </c>
      <c r="F710" s="131" t="s">
        <v>2845</v>
      </c>
      <c r="G710" s="132" t="s">
        <v>183</v>
      </c>
      <c r="H710" s="133">
        <v>0.005</v>
      </c>
      <c r="I710" s="134"/>
      <c r="J710" s="135">
        <f>ROUND(I710*H710,2)</f>
        <v>0</v>
      </c>
      <c r="K710" s="131" t="s">
        <v>184</v>
      </c>
      <c r="L710" s="33"/>
      <c r="M710" s="136" t="s">
        <v>3</v>
      </c>
      <c r="N710" s="137" t="s">
        <v>48</v>
      </c>
      <c r="P710" s="138">
        <f>O710*H710</f>
        <v>0</v>
      </c>
      <c r="Q710" s="138">
        <v>0</v>
      </c>
      <c r="R710" s="138">
        <f>Q710*H710</f>
        <v>0</v>
      </c>
      <c r="S710" s="138">
        <v>0</v>
      </c>
      <c r="T710" s="139">
        <f>S710*H710</f>
        <v>0</v>
      </c>
      <c r="AR710" s="140" t="s">
        <v>237</v>
      </c>
      <c r="AT710" s="140" t="s">
        <v>180</v>
      </c>
      <c r="AU710" s="140" t="s">
        <v>87</v>
      </c>
      <c r="AY710" s="18" t="s">
        <v>177</v>
      </c>
      <c r="BE710" s="141">
        <f>IF(N710="základní",J710,0)</f>
        <v>0</v>
      </c>
      <c r="BF710" s="141">
        <f>IF(N710="snížená",J710,0)</f>
        <v>0</v>
      </c>
      <c r="BG710" s="141">
        <f>IF(N710="zákl. přenesená",J710,0)</f>
        <v>0</v>
      </c>
      <c r="BH710" s="141">
        <f>IF(N710="sníž. přenesená",J710,0)</f>
        <v>0</v>
      </c>
      <c r="BI710" s="141">
        <f>IF(N710="nulová",J710,0)</f>
        <v>0</v>
      </c>
      <c r="BJ710" s="18" t="s">
        <v>85</v>
      </c>
      <c r="BK710" s="141">
        <f>ROUND(I710*H710,2)</f>
        <v>0</v>
      </c>
      <c r="BL710" s="18" t="s">
        <v>237</v>
      </c>
      <c r="BM710" s="140" t="s">
        <v>2846</v>
      </c>
    </row>
    <row r="711" spans="2:47" s="1" customFormat="1" ht="29.25">
      <c r="B711" s="33"/>
      <c r="D711" s="142" t="s">
        <v>187</v>
      </c>
      <c r="F711" s="143" t="s">
        <v>2847</v>
      </c>
      <c r="I711" s="144"/>
      <c r="L711" s="33"/>
      <c r="M711" s="145"/>
      <c r="T711" s="54"/>
      <c r="AT711" s="18" t="s">
        <v>187</v>
      </c>
      <c r="AU711" s="18" t="s">
        <v>87</v>
      </c>
    </row>
    <row r="712" spans="2:47" s="1" customFormat="1" ht="11.25">
      <c r="B712" s="33"/>
      <c r="D712" s="146" t="s">
        <v>189</v>
      </c>
      <c r="F712" s="147" t="s">
        <v>2848</v>
      </c>
      <c r="I712" s="144"/>
      <c r="L712" s="33"/>
      <c r="M712" s="145"/>
      <c r="T712" s="54"/>
      <c r="AT712" s="18" t="s">
        <v>189</v>
      </c>
      <c r="AU712" s="18" t="s">
        <v>87</v>
      </c>
    </row>
    <row r="713" spans="2:47" s="1" customFormat="1" ht="126.75">
      <c r="B713" s="33"/>
      <c r="D713" s="142" t="s">
        <v>191</v>
      </c>
      <c r="F713" s="148" t="s">
        <v>762</v>
      </c>
      <c r="I713" s="144"/>
      <c r="L713" s="33"/>
      <c r="M713" s="145"/>
      <c r="T713" s="54"/>
      <c r="AT713" s="18" t="s">
        <v>191</v>
      </c>
      <c r="AU713" s="18" t="s">
        <v>87</v>
      </c>
    </row>
    <row r="714" spans="2:63" s="11" customFormat="1" ht="22.9" customHeight="1">
      <c r="B714" s="116"/>
      <c r="D714" s="117" t="s">
        <v>76</v>
      </c>
      <c r="E714" s="126" t="s">
        <v>1272</v>
      </c>
      <c r="F714" s="126" t="s">
        <v>1273</v>
      </c>
      <c r="I714" s="119"/>
      <c r="J714" s="127">
        <f>BK714</f>
        <v>0</v>
      </c>
      <c r="L714" s="116"/>
      <c r="M714" s="121"/>
      <c r="P714" s="122">
        <f>SUM(P715:P727)</f>
        <v>0</v>
      </c>
      <c r="R714" s="122">
        <f>SUM(R715:R727)</f>
        <v>0.676866</v>
      </c>
      <c r="T714" s="123">
        <f>SUM(T715:T727)</f>
        <v>0</v>
      </c>
      <c r="AR714" s="117" t="s">
        <v>87</v>
      </c>
      <c r="AT714" s="124" t="s">
        <v>76</v>
      </c>
      <c r="AU714" s="124" t="s">
        <v>85</v>
      </c>
      <c r="AY714" s="117" t="s">
        <v>177</v>
      </c>
      <c r="BK714" s="125">
        <f>SUM(BK715:BK727)</f>
        <v>0</v>
      </c>
    </row>
    <row r="715" spans="2:65" s="1" customFormat="1" ht="24.2" customHeight="1">
      <c r="B715" s="128"/>
      <c r="C715" s="129" t="s">
        <v>2849</v>
      </c>
      <c r="D715" s="129" t="s">
        <v>180</v>
      </c>
      <c r="E715" s="130" t="s">
        <v>2850</v>
      </c>
      <c r="F715" s="131" t="s">
        <v>2851</v>
      </c>
      <c r="G715" s="132" t="s">
        <v>332</v>
      </c>
      <c r="H715" s="133">
        <v>48.5</v>
      </c>
      <c r="I715" s="134"/>
      <c r="J715" s="135">
        <f>ROUND(I715*H715,2)</f>
        <v>0</v>
      </c>
      <c r="K715" s="131" t="s">
        <v>184</v>
      </c>
      <c r="L715" s="33"/>
      <c r="M715" s="136" t="s">
        <v>3</v>
      </c>
      <c r="N715" s="137" t="s">
        <v>48</v>
      </c>
      <c r="P715" s="138">
        <f>O715*H715</f>
        <v>0</v>
      </c>
      <c r="Q715" s="138">
        <v>0.013956</v>
      </c>
      <c r="R715" s="138">
        <f>Q715*H715</f>
        <v>0.676866</v>
      </c>
      <c r="S715" s="138">
        <v>0</v>
      </c>
      <c r="T715" s="139">
        <f>S715*H715</f>
        <v>0</v>
      </c>
      <c r="AR715" s="140" t="s">
        <v>237</v>
      </c>
      <c r="AT715" s="140" t="s">
        <v>180</v>
      </c>
      <c r="AU715" s="140" t="s">
        <v>87</v>
      </c>
      <c r="AY715" s="18" t="s">
        <v>177</v>
      </c>
      <c r="BE715" s="141">
        <f>IF(N715="základní",J715,0)</f>
        <v>0</v>
      </c>
      <c r="BF715" s="141">
        <f>IF(N715="snížená",J715,0)</f>
        <v>0</v>
      </c>
      <c r="BG715" s="141">
        <f>IF(N715="zákl. přenesená",J715,0)</f>
        <v>0</v>
      </c>
      <c r="BH715" s="141">
        <f>IF(N715="sníž. přenesená",J715,0)</f>
        <v>0</v>
      </c>
      <c r="BI715" s="141">
        <f>IF(N715="nulová",J715,0)</f>
        <v>0</v>
      </c>
      <c r="BJ715" s="18" t="s">
        <v>85</v>
      </c>
      <c r="BK715" s="141">
        <f>ROUND(I715*H715,2)</f>
        <v>0</v>
      </c>
      <c r="BL715" s="18" t="s">
        <v>237</v>
      </c>
      <c r="BM715" s="140" t="s">
        <v>2852</v>
      </c>
    </row>
    <row r="716" spans="2:47" s="1" customFormat="1" ht="29.25">
      <c r="B716" s="33"/>
      <c r="D716" s="142" t="s">
        <v>187</v>
      </c>
      <c r="F716" s="143" t="s">
        <v>2853</v>
      </c>
      <c r="I716" s="144"/>
      <c r="L716" s="33"/>
      <c r="M716" s="145"/>
      <c r="T716" s="54"/>
      <c r="AT716" s="18" t="s">
        <v>187</v>
      </c>
      <c r="AU716" s="18" t="s">
        <v>87</v>
      </c>
    </row>
    <row r="717" spans="2:47" s="1" customFormat="1" ht="11.25">
      <c r="B717" s="33"/>
      <c r="D717" s="146" t="s">
        <v>189</v>
      </c>
      <c r="F717" s="147" t="s">
        <v>2854</v>
      </c>
      <c r="I717" s="144"/>
      <c r="L717" s="33"/>
      <c r="M717" s="145"/>
      <c r="T717" s="54"/>
      <c r="AT717" s="18" t="s">
        <v>189</v>
      </c>
      <c r="AU717" s="18" t="s">
        <v>87</v>
      </c>
    </row>
    <row r="718" spans="2:47" s="1" customFormat="1" ht="39">
      <c r="B718" s="33"/>
      <c r="D718" s="142" t="s">
        <v>191</v>
      </c>
      <c r="F718" s="148" t="s">
        <v>2855</v>
      </c>
      <c r="I718" s="144"/>
      <c r="L718" s="33"/>
      <c r="M718" s="145"/>
      <c r="T718" s="54"/>
      <c r="AT718" s="18" t="s">
        <v>191</v>
      </c>
      <c r="AU718" s="18" t="s">
        <v>87</v>
      </c>
    </row>
    <row r="719" spans="2:51" s="12" customFormat="1" ht="11.25">
      <c r="B719" s="149"/>
      <c r="D719" s="142" t="s">
        <v>193</v>
      </c>
      <c r="E719" s="150" t="s">
        <v>3</v>
      </c>
      <c r="F719" s="151" t="s">
        <v>2856</v>
      </c>
      <c r="H719" s="152">
        <v>48.5</v>
      </c>
      <c r="I719" s="153"/>
      <c r="L719" s="149"/>
      <c r="M719" s="154"/>
      <c r="T719" s="155"/>
      <c r="AT719" s="150" t="s">
        <v>193</v>
      </c>
      <c r="AU719" s="150" t="s">
        <v>87</v>
      </c>
      <c r="AV719" s="12" t="s">
        <v>87</v>
      </c>
      <c r="AW719" s="12" t="s">
        <v>36</v>
      </c>
      <c r="AX719" s="12" t="s">
        <v>85</v>
      </c>
      <c r="AY719" s="150" t="s">
        <v>177</v>
      </c>
    </row>
    <row r="720" spans="2:65" s="1" customFormat="1" ht="24.2" customHeight="1">
      <c r="B720" s="128"/>
      <c r="C720" s="129" t="s">
        <v>2857</v>
      </c>
      <c r="D720" s="129" t="s">
        <v>180</v>
      </c>
      <c r="E720" s="130" t="s">
        <v>1457</v>
      </c>
      <c r="F720" s="131" t="s">
        <v>1458</v>
      </c>
      <c r="G720" s="132" t="s">
        <v>183</v>
      </c>
      <c r="H720" s="133">
        <v>0.677</v>
      </c>
      <c r="I720" s="134"/>
      <c r="J720" s="135">
        <f>ROUND(I720*H720,2)</f>
        <v>0</v>
      </c>
      <c r="K720" s="131" t="s">
        <v>184</v>
      </c>
      <c r="L720" s="33"/>
      <c r="M720" s="136" t="s">
        <v>3</v>
      </c>
      <c r="N720" s="137" t="s">
        <v>48</v>
      </c>
      <c r="P720" s="138">
        <f>O720*H720</f>
        <v>0</v>
      </c>
      <c r="Q720" s="138">
        <v>0</v>
      </c>
      <c r="R720" s="138">
        <f>Q720*H720</f>
        <v>0</v>
      </c>
      <c r="S720" s="138">
        <v>0</v>
      </c>
      <c r="T720" s="139">
        <f>S720*H720</f>
        <v>0</v>
      </c>
      <c r="AR720" s="140" t="s">
        <v>237</v>
      </c>
      <c r="AT720" s="140" t="s">
        <v>180</v>
      </c>
      <c r="AU720" s="140" t="s">
        <v>87</v>
      </c>
      <c r="AY720" s="18" t="s">
        <v>177</v>
      </c>
      <c r="BE720" s="141">
        <f>IF(N720="základní",J720,0)</f>
        <v>0</v>
      </c>
      <c r="BF720" s="141">
        <f>IF(N720="snížená",J720,0)</f>
        <v>0</v>
      </c>
      <c r="BG720" s="141">
        <f>IF(N720="zákl. přenesená",J720,0)</f>
        <v>0</v>
      </c>
      <c r="BH720" s="141">
        <f>IF(N720="sníž. přenesená",J720,0)</f>
        <v>0</v>
      </c>
      <c r="BI720" s="141">
        <f>IF(N720="nulová",J720,0)</f>
        <v>0</v>
      </c>
      <c r="BJ720" s="18" t="s">
        <v>85</v>
      </c>
      <c r="BK720" s="141">
        <f>ROUND(I720*H720,2)</f>
        <v>0</v>
      </c>
      <c r="BL720" s="18" t="s">
        <v>237</v>
      </c>
      <c r="BM720" s="140" t="s">
        <v>2858</v>
      </c>
    </row>
    <row r="721" spans="2:47" s="1" customFormat="1" ht="29.25">
      <c r="B721" s="33"/>
      <c r="D721" s="142" t="s">
        <v>187</v>
      </c>
      <c r="F721" s="143" t="s">
        <v>1460</v>
      </c>
      <c r="I721" s="144"/>
      <c r="L721" s="33"/>
      <c r="M721" s="145"/>
      <c r="T721" s="54"/>
      <c r="AT721" s="18" t="s">
        <v>187</v>
      </c>
      <c r="AU721" s="18" t="s">
        <v>87</v>
      </c>
    </row>
    <row r="722" spans="2:47" s="1" customFormat="1" ht="11.25">
      <c r="B722" s="33"/>
      <c r="D722" s="146" t="s">
        <v>189</v>
      </c>
      <c r="F722" s="147" t="s">
        <v>1461</v>
      </c>
      <c r="I722" s="144"/>
      <c r="L722" s="33"/>
      <c r="M722" s="145"/>
      <c r="T722" s="54"/>
      <c r="AT722" s="18" t="s">
        <v>189</v>
      </c>
      <c r="AU722" s="18" t="s">
        <v>87</v>
      </c>
    </row>
    <row r="723" spans="2:47" s="1" customFormat="1" ht="126.75">
      <c r="B723" s="33"/>
      <c r="D723" s="142" t="s">
        <v>191</v>
      </c>
      <c r="F723" s="148" t="s">
        <v>1438</v>
      </c>
      <c r="I723" s="144"/>
      <c r="L723" s="33"/>
      <c r="M723" s="145"/>
      <c r="T723" s="54"/>
      <c r="AT723" s="18" t="s">
        <v>191</v>
      </c>
      <c r="AU723" s="18" t="s">
        <v>87</v>
      </c>
    </row>
    <row r="724" spans="2:65" s="1" customFormat="1" ht="24.2" customHeight="1">
      <c r="B724" s="128"/>
      <c r="C724" s="129" t="s">
        <v>2859</v>
      </c>
      <c r="D724" s="129" t="s">
        <v>180</v>
      </c>
      <c r="E724" s="130" t="s">
        <v>1462</v>
      </c>
      <c r="F724" s="131" t="s">
        <v>1463</v>
      </c>
      <c r="G724" s="132" t="s">
        <v>183</v>
      </c>
      <c r="H724" s="133">
        <v>0.677</v>
      </c>
      <c r="I724" s="134"/>
      <c r="J724" s="135">
        <f>ROUND(I724*H724,2)</f>
        <v>0</v>
      </c>
      <c r="K724" s="131" t="s">
        <v>184</v>
      </c>
      <c r="L724" s="33"/>
      <c r="M724" s="136" t="s">
        <v>3</v>
      </c>
      <c r="N724" s="137" t="s">
        <v>48</v>
      </c>
      <c r="P724" s="138">
        <f>O724*H724</f>
        <v>0</v>
      </c>
      <c r="Q724" s="138">
        <v>0</v>
      </c>
      <c r="R724" s="138">
        <f>Q724*H724</f>
        <v>0</v>
      </c>
      <c r="S724" s="138">
        <v>0</v>
      </c>
      <c r="T724" s="139">
        <f>S724*H724</f>
        <v>0</v>
      </c>
      <c r="AR724" s="140" t="s">
        <v>237</v>
      </c>
      <c r="AT724" s="140" t="s">
        <v>180</v>
      </c>
      <c r="AU724" s="140" t="s">
        <v>87</v>
      </c>
      <c r="AY724" s="18" t="s">
        <v>177</v>
      </c>
      <c r="BE724" s="141">
        <f>IF(N724="základní",J724,0)</f>
        <v>0</v>
      </c>
      <c r="BF724" s="141">
        <f>IF(N724="snížená",J724,0)</f>
        <v>0</v>
      </c>
      <c r="BG724" s="141">
        <f>IF(N724="zákl. přenesená",J724,0)</f>
        <v>0</v>
      </c>
      <c r="BH724" s="141">
        <f>IF(N724="sníž. přenesená",J724,0)</f>
        <v>0</v>
      </c>
      <c r="BI724" s="141">
        <f>IF(N724="nulová",J724,0)</f>
        <v>0</v>
      </c>
      <c r="BJ724" s="18" t="s">
        <v>85</v>
      </c>
      <c r="BK724" s="141">
        <f>ROUND(I724*H724,2)</f>
        <v>0</v>
      </c>
      <c r="BL724" s="18" t="s">
        <v>237</v>
      </c>
      <c r="BM724" s="140" t="s">
        <v>2860</v>
      </c>
    </row>
    <row r="725" spans="2:47" s="1" customFormat="1" ht="29.25">
      <c r="B725" s="33"/>
      <c r="D725" s="142" t="s">
        <v>187</v>
      </c>
      <c r="F725" s="143" t="s">
        <v>1465</v>
      </c>
      <c r="I725" s="144"/>
      <c r="L725" s="33"/>
      <c r="M725" s="145"/>
      <c r="T725" s="54"/>
      <c r="AT725" s="18" t="s">
        <v>187</v>
      </c>
      <c r="AU725" s="18" t="s">
        <v>87</v>
      </c>
    </row>
    <row r="726" spans="2:47" s="1" customFormat="1" ht="11.25">
      <c r="B726" s="33"/>
      <c r="D726" s="146" t="s">
        <v>189</v>
      </c>
      <c r="F726" s="147" t="s">
        <v>1466</v>
      </c>
      <c r="I726" s="144"/>
      <c r="L726" s="33"/>
      <c r="M726" s="145"/>
      <c r="T726" s="54"/>
      <c r="AT726" s="18" t="s">
        <v>189</v>
      </c>
      <c r="AU726" s="18" t="s">
        <v>87</v>
      </c>
    </row>
    <row r="727" spans="2:47" s="1" customFormat="1" ht="126.75">
      <c r="B727" s="33"/>
      <c r="D727" s="142" t="s">
        <v>191</v>
      </c>
      <c r="F727" s="148" t="s">
        <v>1438</v>
      </c>
      <c r="I727" s="144"/>
      <c r="L727" s="33"/>
      <c r="M727" s="145"/>
      <c r="T727" s="54"/>
      <c r="AT727" s="18" t="s">
        <v>191</v>
      </c>
      <c r="AU727" s="18" t="s">
        <v>87</v>
      </c>
    </row>
    <row r="728" spans="2:63" s="11" customFormat="1" ht="22.9" customHeight="1">
      <c r="B728" s="116"/>
      <c r="D728" s="117" t="s">
        <v>76</v>
      </c>
      <c r="E728" s="126" t="s">
        <v>1288</v>
      </c>
      <c r="F728" s="126" t="s">
        <v>1289</v>
      </c>
      <c r="I728" s="119"/>
      <c r="J728" s="127">
        <f>BK728</f>
        <v>0</v>
      </c>
      <c r="L728" s="116"/>
      <c r="M728" s="121"/>
      <c r="P728" s="122">
        <f>SUM(P729:P761)</f>
        <v>0</v>
      </c>
      <c r="R728" s="122">
        <f>SUM(R729:R761)</f>
        <v>0.7248420921999998</v>
      </c>
      <c r="T728" s="123">
        <f>SUM(T729:T761)</f>
        <v>0</v>
      </c>
      <c r="AR728" s="117" t="s">
        <v>87</v>
      </c>
      <c r="AT728" s="124" t="s">
        <v>76</v>
      </c>
      <c r="AU728" s="124" t="s">
        <v>85</v>
      </c>
      <c r="AY728" s="117" t="s">
        <v>177</v>
      </c>
      <c r="BK728" s="125">
        <f>SUM(BK729:BK761)</f>
        <v>0</v>
      </c>
    </row>
    <row r="729" spans="2:65" s="1" customFormat="1" ht="33" customHeight="1">
      <c r="B729" s="128"/>
      <c r="C729" s="129" t="s">
        <v>2861</v>
      </c>
      <c r="D729" s="129" t="s">
        <v>180</v>
      </c>
      <c r="E729" s="130" t="s">
        <v>2862</v>
      </c>
      <c r="F729" s="131" t="s">
        <v>2863</v>
      </c>
      <c r="G729" s="132" t="s">
        <v>476</v>
      </c>
      <c r="H729" s="133">
        <v>9.7</v>
      </c>
      <c r="I729" s="134"/>
      <c r="J729" s="135">
        <f>ROUND(I729*H729,2)</f>
        <v>0</v>
      </c>
      <c r="K729" s="131" t="s">
        <v>244</v>
      </c>
      <c r="L729" s="33"/>
      <c r="M729" s="136" t="s">
        <v>3</v>
      </c>
      <c r="N729" s="137" t="s">
        <v>48</v>
      </c>
      <c r="P729" s="138">
        <f>O729*H729</f>
        <v>0</v>
      </c>
      <c r="Q729" s="138">
        <v>0.00459</v>
      </c>
      <c r="R729" s="138">
        <f>Q729*H729</f>
        <v>0.044523</v>
      </c>
      <c r="S729" s="138">
        <v>0</v>
      </c>
      <c r="T729" s="139">
        <f>S729*H729</f>
        <v>0</v>
      </c>
      <c r="AR729" s="140" t="s">
        <v>237</v>
      </c>
      <c r="AT729" s="140" t="s">
        <v>180</v>
      </c>
      <c r="AU729" s="140" t="s">
        <v>87</v>
      </c>
      <c r="AY729" s="18" t="s">
        <v>177</v>
      </c>
      <c r="BE729" s="141">
        <f>IF(N729="základní",J729,0)</f>
        <v>0</v>
      </c>
      <c r="BF729" s="141">
        <f>IF(N729="snížená",J729,0)</f>
        <v>0</v>
      </c>
      <c r="BG729" s="141">
        <f>IF(N729="zákl. přenesená",J729,0)</f>
        <v>0</v>
      </c>
      <c r="BH729" s="141">
        <f>IF(N729="sníž. přenesená",J729,0)</f>
        <v>0</v>
      </c>
      <c r="BI729" s="141">
        <f>IF(N729="nulová",J729,0)</f>
        <v>0</v>
      </c>
      <c r="BJ729" s="18" t="s">
        <v>85</v>
      </c>
      <c r="BK729" s="141">
        <f>ROUND(I729*H729,2)</f>
        <v>0</v>
      </c>
      <c r="BL729" s="18" t="s">
        <v>237</v>
      </c>
      <c r="BM729" s="140" t="s">
        <v>2864</v>
      </c>
    </row>
    <row r="730" spans="2:47" s="1" customFormat="1" ht="19.5">
      <c r="B730" s="33"/>
      <c r="D730" s="142" t="s">
        <v>187</v>
      </c>
      <c r="F730" s="143" t="s">
        <v>2865</v>
      </c>
      <c r="I730" s="144"/>
      <c r="L730" s="33"/>
      <c r="M730" s="145"/>
      <c r="T730" s="54"/>
      <c r="AT730" s="18" t="s">
        <v>187</v>
      </c>
      <c r="AU730" s="18" t="s">
        <v>87</v>
      </c>
    </row>
    <row r="731" spans="2:47" s="1" customFormat="1" ht="58.5">
      <c r="B731" s="33"/>
      <c r="D731" s="142" t="s">
        <v>191</v>
      </c>
      <c r="F731" s="148" t="s">
        <v>2866</v>
      </c>
      <c r="I731" s="144"/>
      <c r="L731" s="33"/>
      <c r="M731" s="145"/>
      <c r="T731" s="54"/>
      <c r="AT731" s="18" t="s">
        <v>191</v>
      </c>
      <c r="AU731" s="18" t="s">
        <v>87</v>
      </c>
    </row>
    <row r="732" spans="2:51" s="13" customFormat="1" ht="11.25">
      <c r="B732" s="156"/>
      <c r="D732" s="142" t="s">
        <v>193</v>
      </c>
      <c r="E732" s="157" t="s">
        <v>3</v>
      </c>
      <c r="F732" s="158" t="s">
        <v>2867</v>
      </c>
      <c r="H732" s="157" t="s">
        <v>3</v>
      </c>
      <c r="I732" s="159"/>
      <c r="L732" s="156"/>
      <c r="M732" s="160"/>
      <c r="T732" s="161"/>
      <c r="AT732" s="157" t="s">
        <v>193</v>
      </c>
      <c r="AU732" s="157" t="s">
        <v>87</v>
      </c>
      <c r="AV732" s="13" t="s">
        <v>85</v>
      </c>
      <c r="AW732" s="13" t="s">
        <v>36</v>
      </c>
      <c r="AX732" s="13" t="s">
        <v>77</v>
      </c>
      <c r="AY732" s="157" t="s">
        <v>177</v>
      </c>
    </row>
    <row r="733" spans="2:51" s="12" customFormat="1" ht="11.25">
      <c r="B733" s="149"/>
      <c r="D733" s="142" t="s">
        <v>193</v>
      </c>
      <c r="E733" s="150" t="s">
        <v>3</v>
      </c>
      <c r="F733" s="151" t="s">
        <v>2868</v>
      </c>
      <c r="H733" s="152">
        <v>9.7</v>
      </c>
      <c r="I733" s="153"/>
      <c r="L733" s="149"/>
      <c r="M733" s="154"/>
      <c r="T733" s="155"/>
      <c r="AT733" s="150" t="s">
        <v>193</v>
      </c>
      <c r="AU733" s="150" t="s">
        <v>87</v>
      </c>
      <c r="AV733" s="12" t="s">
        <v>87</v>
      </c>
      <c r="AW733" s="12" t="s">
        <v>36</v>
      </c>
      <c r="AX733" s="12" t="s">
        <v>85</v>
      </c>
      <c r="AY733" s="150" t="s">
        <v>177</v>
      </c>
    </row>
    <row r="734" spans="2:65" s="1" customFormat="1" ht="24.2" customHeight="1">
      <c r="B734" s="128"/>
      <c r="C734" s="129" t="s">
        <v>2869</v>
      </c>
      <c r="D734" s="129" t="s">
        <v>180</v>
      </c>
      <c r="E734" s="130" t="s">
        <v>2870</v>
      </c>
      <c r="F734" s="131" t="s">
        <v>2871</v>
      </c>
      <c r="G734" s="132" t="s">
        <v>476</v>
      </c>
      <c r="H734" s="133">
        <v>77.6</v>
      </c>
      <c r="I734" s="134"/>
      <c r="J734" s="135">
        <f>ROUND(I734*H734,2)</f>
        <v>0</v>
      </c>
      <c r="K734" s="131" t="s">
        <v>184</v>
      </c>
      <c r="L734" s="33"/>
      <c r="M734" s="136" t="s">
        <v>3</v>
      </c>
      <c r="N734" s="137" t="s">
        <v>48</v>
      </c>
      <c r="P734" s="138">
        <f>O734*H734</f>
        <v>0</v>
      </c>
      <c r="Q734" s="138">
        <v>0.00579935</v>
      </c>
      <c r="R734" s="138">
        <f>Q734*H734</f>
        <v>0.45002955999999994</v>
      </c>
      <c r="S734" s="138">
        <v>0</v>
      </c>
      <c r="T734" s="139">
        <f>S734*H734</f>
        <v>0</v>
      </c>
      <c r="AR734" s="140" t="s">
        <v>237</v>
      </c>
      <c r="AT734" s="140" t="s">
        <v>180</v>
      </c>
      <c r="AU734" s="140" t="s">
        <v>87</v>
      </c>
      <c r="AY734" s="18" t="s">
        <v>177</v>
      </c>
      <c r="BE734" s="141">
        <f>IF(N734="základní",J734,0)</f>
        <v>0</v>
      </c>
      <c r="BF734" s="141">
        <f>IF(N734="snížená",J734,0)</f>
        <v>0</v>
      </c>
      <c r="BG734" s="141">
        <f>IF(N734="zákl. přenesená",J734,0)</f>
        <v>0</v>
      </c>
      <c r="BH734" s="141">
        <f>IF(N734="sníž. přenesená",J734,0)</f>
        <v>0</v>
      </c>
      <c r="BI734" s="141">
        <f>IF(N734="nulová",J734,0)</f>
        <v>0</v>
      </c>
      <c r="BJ734" s="18" t="s">
        <v>85</v>
      </c>
      <c r="BK734" s="141">
        <f>ROUND(I734*H734,2)</f>
        <v>0</v>
      </c>
      <c r="BL734" s="18" t="s">
        <v>237</v>
      </c>
      <c r="BM734" s="140" t="s">
        <v>2872</v>
      </c>
    </row>
    <row r="735" spans="2:47" s="1" customFormat="1" ht="19.5">
      <c r="B735" s="33"/>
      <c r="D735" s="142" t="s">
        <v>187</v>
      </c>
      <c r="F735" s="143" t="s">
        <v>2873</v>
      </c>
      <c r="I735" s="144"/>
      <c r="L735" s="33"/>
      <c r="M735" s="145"/>
      <c r="T735" s="54"/>
      <c r="AT735" s="18" t="s">
        <v>187</v>
      </c>
      <c r="AU735" s="18" t="s">
        <v>87</v>
      </c>
    </row>
    <row r="736" spans="2:47" s="1" customFormat="1" ht="11.25">
      <c r="B736" s="33"/>
      <c r="D736" s="146" t="s">
        <v>189</v>
      </c>
      <c r="F736" s="147" t="s">
        <v>2874</v>
      </c>
      <c r="I736" s="144"/>
      <c r="L736" s="33"/>
      <c r="M736" s="145"/>
      <c r="T736" s="54"/>
      <c r="AT736" s="18" t="s">
        <v>189</v>
      </c>
      <c r="AU736" s="18" t="s">
        <v>87</v>
      </c>
    </row>
    <row r="737" spans="2:47" s="1" customFormat="1" ht="58.5">
      <c r="B737" s="33"/>
      <c r="D737" s="142" t="s">
        <v>191</v>
      </c>
      <c r="F737" s="148" t="s">
        <v>2875</v>
      </c>
      <c r="I737" s="144"/>
      <c r="L737" s="33"/>
      <c r="M737" s="145"/>
      <c r="T737" s="54"/>
      <c r="AT737" s="18" t="s">
        <v>191</v>
      </c>
      <c r="AU737" s="18" t="s">
        <v>87</v>
      </c>
    </row>
    <row r="738" spans="2:51" s="13" customFormat="1" ht="11.25">
      <c r="B738" s="156"/>
      <c r="D738" s="142" t="s">
        <v>193</v>
      </c>
      <c r="E738" s="157" t="s">
        <v>3</v>
      </c>
      <c r="F738" s="158" t="s">
        <v>2876</v>
      </c>
      <c r="H738" s="157" t="s">
        <v>3</v>
      </c>
      <c r="I738" s="159"/>
      <c r="L738" s="156"/>
      <c r="M738" s="160"/>
      <c r="T738" s="161"/>
      <c r="AT738" s="157" t="s">
        <v>193</v>
      </c>
      <c r="AU738" s="157" t="s">
        <v>87</v>
      </c>
      <c r="AV738" s="13" t="s">
        <v>85</v>
      </c>
      <c r="AW738" s="13" t="s">
        <v>36</v>
      </c>
      <c r="AX738" s="13" t="s">
        <v>77</v>
      </c>
      <c r="AY738" s="157" t="s">
        <v>177</v>
      </c>
    </row>
    <row r="739" spans="2:51" s="12" customFormat="1" ht="11.25">
      <c r="B739" s="149"/>
      <c r="D739" s="142" t="s">
        <v>193</v>
      </c>
      <c r="E739" s="150" t="s">
        <v>3</v>
      </c>
      <c r="F739" s="151" t="s">
        <v>2877</v>
      </c>
      <c r="H739" s="152">
        <v>77.6</v>
      </c>
      <c r="I739" s="153"/>
      <c r="L739" s="149"/>
      <c r="M739" s="154"/>
      <c r="T739" s="155"/>
      <c r="AT739" s="150" t="s">
        <v>193</v>
      </c>
      <c r="AU739" s="150" t="s">
        <v>87</v>
      </c>
      <c r="AV739" s="12" t="s">
        <v>87</v>
      </c>
      <c r="AW739" s="12" t="s">
        <v>36</v>
      </c>
      <c r="AX739" s="12" t="s">
        <v>85</v>
      </c>
      <c r="AY739" s="150" t="s">
        <v>177</v>
      </c>
    </row>
    <row r="740" spans="2:65" s="1" customFormat="1" ht="24.2" customHeight="1">
      <c r="B740" s="128"/>
      <c r="C740" s="129" t="s">
        <v>2878</v>
      </c>
      <c r="D740" s="129" t="s">
        <v>180</v>
      </c>
      <c r="E740" s="130" t="s">
        <v>2879</v>
      </c>
      <c r="F740" s="131" t="s">
        <v>2880</v>
      </c>
      <c r="G740" s="132" t="s">
        <v>476</v>
      </c>
      <c r="H740" s="133">
        <v>56.7</v>
      </c>
      <c r="I740" s="134"/>
      <c r="J740" s="135">
        <f>ROUND(I740*H740,2)</f>
        <v>0</v>
      </c>
      <c r="K740" s="131" t="s">
        <v>184</v>
      </c>
      <c r="L740" s="33"/>
      <c r="M740" s="136" t="s">
        <v>3</v>
      </c>
      <c r="N740" s="137" t="s">
        <v>48</v>
      </c>
      <c r="P740" s="138">
        <f>O740*H740</f>
        <v>0</v>
      </c>
      <c r="Q740" s="138">
        <v>0.001456266</v>
      </c>
      <c r="R740" s="138">
        <f>Q740*H740</f>
        <v>0.0825702822</v>
      </c>
      <c r="S740" s="138">
        <v>0</v>
      </c>
      <c r="T740" s="139">
        <f>S740*H740</f>
        <v>0</v>
      </c>
      <c r="AR740" s="140" t="s">
        <v>237</v>
      </c>
      <c r="AT740" s="140" t="s">
        <v>180</v>
      </c>
      <c r="AU740" s="140" t="s">
        <v>87</v>
      </c>
      <c r="AY740" s="18" t="s">
        <v>177</v>
      </c>
      <c r="BE740" s="141">
        <f>IF(N740="základní",J740,0)</f>
        <v>0</v>
      </c>
      <c r="BF740" s="141">
        <f>IF(N740="snížená",J740,0)</f>
        <v>0</v>
      </c>
      <c r="BG740" s="141">
        <f>IF(N740="zákl. přenesená",J740,0)</f>
        <v>0</v>
      </c>
      <c r="BH740" s="141">
        <f>IF(N740="sníž. přenesená",J740,0)</f>
        <v>0</v>
      </c>
      <c r="BI740" s="141">
        <f>IF(N740="nulová",J740,0)</f>
        <v>0</v>
      </c>
      <c r="BJ740" s="18" t="s">
        <v>85</v>
      </c>
      <c r="BK740" s="141">
        <f>ROUND(I740*H740,2)</f>
        <v>0</v>
      </c>
      <c r="BL740" s="18" t="s">
        <v>237</v>
      </c>
      <c r="BM740" s="140" t="s">
        <v>2881</v>
      </c>
    </row>
    <row r="741" spans="2:47" s="1" customFormat="1" ht="19.5">
      <c r="B741" s="33"/>
      <c r="D741" s="142" t="s">
        <v>187</v>
      </c>
      <c r="F741" s="143" t="s">
        <v>2882</v>
      </c>
      <c r="I741" s="144"/>
      <c r="L741" s="33"/>
      <c r="M741" s="145"/>
      <c r="T741" s="54"/>
      <c r="AT741" s="18" t="s">
        <v>187</v>
      </c>
      <c r="AU741" s="18" t="s">
        <v>87</v>
      </c>
    </row>
    <row r="742" spans="2:47" s="1" customFormat="1" ht="11.25">
      <c r="B742" s="33"/>
      <c r="D742" s="146" t="s">
        <v>189</v>
      </c>
      <c r="F742" s="147" t="s">
        <v>2883</v>
      </c>
      <c r="I742" s="144"/>
      <c r="L742" s="33"/>
      <c r="M742" s="145"/>
      <c r="T742" s="54"/>
      <c r="AT742" s="18" t="s">
        <v>189</v>
      </c>
      <c r="AU742" s="18" t="s">
        <v>87</v>
      </c>
    </row>
    <row r="743" spans="2:65" s="1" customFormat="1" ht="24.2" customHeight="1">
      <c r="B743" s="128"/>
      <c r="C743" s="129" t="s">
        <v>2884</v>
      </c>
      <c r="D743" s="129" t="s">
        <v>180</v>
      </c>
      <c r="E743" s="130" t="s">
        <v>2885</v>
      </c>
      <c r="F743" s="131" t="s">
        <v>2886</v>
      </c>
      <c r="G743" s="132" t="s">
        <v>236</v>
      </c>
      <c r="H743" s="133">
        <v>56</v>
      </c>
      <c r="I743" s="134"/>
      <c r="J743" s="135">
        <f>ROUND(I743*H743,2)</f>
        <v>0</v>
      </c>
      <c r="K743" s="131" t="s">
        <v>184</v>
      </c>
      <c r="L743" s="33"/>
      <c r="M743" s="136" t="s">
        <v>3</v>
      </c>
      <c r="N743" s="137" t="s">
        <v>48</v>
      </c>
      <c r="P743" s="138">
        <f>O743*H743</f>
        <v>0</v>
      </c>
      <c r="Q743" s="138">
        <v>0</v>
      </c>
      <c r="R743" s="138">
        <f>Q743*H743</f>
        <v>0</v>
      </c>
      <c r="S743" s="138">
        <v>0</v>
      </c>
      <c r="T743" s="139">
        <f>S743*H743</f>
        <v>0</v>
      </c>
      <c r="AR743" s="140" t="s">
        <v>237</v>
      </c>
      <c r="AT743" s="140" t="s">
        <v>180</v>
      </c>
      <c r="AU743" s="140" t="s">
        <v>87</v>
      </c>
      <c r="AY743" s="18" t="s">
        <v>177</v>
      </c>
      <c r="BE743" s="141">
        <f>IF(N743="základní",J743,0)</f>
        <v>0</v>
      </c>
      <c r="BF743" s="141">
        <f>IF(N743="snížená",J743,0)</f>
        <v>0</v>
      </c>
      <c r="BG743" s="141">
        <f>IF(N743="zákl. přenesená",J743,0)</f>
        <v>0</v>
      </c>
      <c r="BH743" s="141">
        <f>IF(N743="sníž. přenesená",J743,0)</f>
        <v>0</v>
      </c>
      <c r="BI743" s="141">
        <f>IF(N743="nulová",J743,0)</f>
        <v>0</v>
      </c>
      <c r="BJ743" s="18" t="s">
        <v>85</v>
      </c>
      <c r="BK743" s="141">
        <f>ROUND(I743*H743,2)</f>
        <v>0</v>
      </c>
      <c r="BL743" s="18" t="s">
        <v>237</v>
      </c>
      <c r="BM743" s="140" t="s">
        <v>2887</v>
      </c>
    </row>
    <row r="744" spans="2:47" s="1" customFormat="1" ht="29.25">
      <c r="B744" s="33"/>
      <c r="D744" s="142" t="s">
        <v>187</v>
      </c>
      <c r="F744" s="143" t="s">
        <v>2888</v>
      </c>
      <c r="I744" s="144"/>
      <c r="L744" s="33"/>
      <c r="M744" s="145"/>
      <c r="T744" s="54"/>
      <c r="AT744" s="18" t="s">
        <v>187</v>
      </c>
      <c r="AU744" s="18" t="s">
        <v>87</v>
      </c>
    </row>
    <row r="745" spans="2:47" s="1" customFormat="1" ht="11.25">
      <c r="B745" s="33"/>
      <c r="D745" s="146" t="s">
        <v>189</v>
      </c>
      <c r="F745" s="147" t="s">
        <v>2889</v>
      </c>
      <c r="I745" s="144"/>
      <c r="L745" s="33"/>
      <c r="M745" s="145"/>
      <c r="T745" s="54"/>
      <c r="AT745" s="18" t="s">
        <v>189</v>
      </c>
      <c r="AU745" s="18" t="s">
        <v>87</v>
      </c>
    </row>
    <row r="746" spans="2:51" s="12" customFormat="1" ht="11.25">
      <c r="B746" s="149"/>
      <c r="D746" s="142" t="s">
        <v>193</v>
      </c>
      <c r="E746" s="150" t="s">
        <v>3</v>
      </c>
      <c r="F746" s="151" t="s">
        <v>2890</v>
      </c>
      <c r="H746" s="152">
        <v>32</v>
      </c>
      <c r="I746" s="153"/>
      <c r="L746" s="149"/>
      <c r="M746" s="154"/>
      <c r="T746" s="155"/>
      <c r="AT746" s="150" t="s">
        <v>193</v>
      </c>
      <c r="AU746" s="150" t="s">
        <v>87</v>
      </c>
      <c r="AV746" s="12" t="s">
        <v>87</v>
      </c>
      <c r="AW746" s="12" t="s">
        <v>36</v>
      </c>
      <c r="AX746" s="12" t="s">
        <v>77</v>
      </c>
      <c r="AY746" s="150" t="s">
        <v>177</v>
      </c>
    </row>
    <row r="747" spans="2:51" s="12" customFormat="1" ht="11.25">
      <c r="B747" s="149"/>
      <c r="D747" s="142" t="s">
        <v>193</v>
      </c>
      <c r="E747" s="150" t="s">
        <v>3</v>
      </c>
      <c r="F747" s="151" t="s">
        <v>2891</v>
      </c>
      <c r="H747" s="152">
        <v>24</v>
      </c>
      <c r="I747" s="153"/>
      <c r="L747" s="149"/>
      <c r="M747" s="154"/>
      <c r="T747" s="155"/>
      <c r="AT747" s="150" t="s">
        <v>193</v>
      </c>
      <c r="AU747" s="150" t="s">
        <v>87</v>
      </c>
      <c r="AV747" s="12" t="s">
        <v>87</v>
      </c>
      <c r="AW747" s="12" t="s">
        <v>36</v>
      </c>
      <c r="AX747" s="12" t="s">
        <v>77</v>
      </c>
      <c r="AY747" s="150" t="s">
        <v>177</v>
      </c>
    </row>
    <row r="748" spans="2:51" s="15" customFormat="1" ht="11.25">
      <c r="B748" s="169"/>
      <c r="D748" s="142" t="s">
        <v>193</v>
      </c>
      <c r="E748" s="170" t="s">
        <v>3</v>
      </c>
      <c r="F748" s="171" t="s">
        <v>201</v>
      </c>
      <c r="H748" s="172">
        <v>56</v>
      </c>
      <c r="I748" s="173"/>
      <c r="L748" s="169"/>
      <c r="M748" s="174"/>
      <c r="T748" s="175"/>
      <c r="AT748" s="170" t="s">
        <v>193</v>
      </c>
      <c r="AU748" s="170" t="s">
        <v>87</v>
      </c>
      <c r="AV748" s="15" t="s">
        <v>185</v>
      </c>
      <c r="AW748" s="15" t="s">
        <v>36</v>
      </c>
      <c r="AX748" s="15" t="s">
        <v>85</v>
      </c>
      <c r="AY748" s="170" t="s">
        <v>177</v>
      </c>
    </row>
    <row r="749" spans="2:65" s="1" customFormat="1" ht="33" customHeight="1">
      <c r="B749" s="128"/>
      <c r="C749" s="129" t="s">
        <v>2892</v>
      </c>
      <c r="D749" s="129" t="s">
        <v>180</v>
      </c>
      <c r="E749" s="130" t="s">
        <v>2893</v>
      </c>
      <c r="F749" s="131" t="s">
        <v>2894</v>
      </c>
      <c r="G749" s="132" t="s">
        <v>476</v>
      </c>
      <c r="H749" s="133">
        <v>33.9</v>
      </c>
      <c r="I749" s="134"/>
      <c r="J749" s="135">
        <f>ROUND(I749*H749,2)</f>
        <v>0</v>
      </c>
      <c r="K749" s="131" t="s">
        <v>184</v>
      </c>
      <c r="L749" s="33"/>
      <c r="M749" s="136" t="s">
        <v>3</v>
      </c>
      <c r="N749" s="137" t="s">
        <v>48</v>
      </c>
      <c r="P749" s="138">
        <f>O749*H749</f>
        <v>0</v>
      </c>
      <c r="Q749" s="138">
        <v>0.0043575</v>
      </c>
      <c r="R749" s="138">
        <f>Q749*H749</f>
        <v>0.14771925</v>
      </c>
      <c r="S749" s="138">
        <v>0</v>
      </c>
      <c r="T749" s="139">
        <f>S749*H749</f>
        <v>0</v>
      </c>
      <c r="AR749" s="140" t="s">
        <v>237</v>
      </c>
      <c r="AT749" s="140" t="s">
        <v>180</v>
      </c>
      <c r="AU749" s="140" t="s">
        <v>87</v>
      </c>
      <c r="AY749" s="18" t="s">
        <v>177</v>
      </c>
      <c r="BE749" s="141">
        <f>IF(N749="základní",J749,0)</f>
        <v>0</v>
      </c>
      <c r="BF749" s="141">
        <f>IF(N749="snížená",J749,0)</f>
        <v>0</v>
      </c>
      <c r="BG749" s="141">
        <f>IF(N749="zákl. přenesená",J749,0)</f>
        <v>0</v>
      </c>
      <c r="BH749" s="141">
        <f>IF(N749="sníž. přenesená",J749,0)</f>
        <v>0</v>
      </c>
      <c r="BI749" s="141">
        <f>IF(N749="nulová",J749,0)</f>
        <v>0</v>
      </c>
      <c r="BJ749" s="18" t="s">
        <v>85</v>
      </c>
      <c r="BK749" s="141">
        <f>ROUND(I749*H749,2)</f>
        <v>0</v>
      </c>
      <c r="BL749" s="18" t="s">
        <v>237</v>
      </c>
      <c r="BM749" s="140" t="s">
        <v>2895</v>
      </c>
    </row>
    <row r="750" spans="2:47" s="1" customFormat="1" ht="29.25">
      <c r="B750" s="33"/>
      <c r="D750" s="142" t="s">
        <v>187</v>
      </c>
      <c r="F750" s="143" t="s">
        <v>2896</v>
      </c>
      <c r="I750" s="144"/>
      <c r="L750" s="33"/>
      <c r="M750" s="145"/>
      <c r="T750" s="54"/>
      <c r="AT750" s="18" t="s">
        <v>187</v>
      </c>
      <c r="AU750" s="18" t="s">
        <v>87</v>
      </c>
    </row>
    <row r="751" spans="2:47" s="1" customFormat="1" ht="11.25">
      <c r="B751" s="33"/>
      <c r="D751" s="146" t="s">
        <v>189</v>
      </c>
      <c r="F751" s="147" t="s">
        <v>2897</v>
      </c>
      <c r="I751" s="144"/>
      <c r="L751" s="33"/>
      <c r="M751" s="145"/>
      <c r="T751" s="54"/>
      <c r="AT751" s="18" t="s">
        <v>189</v>
      </c>
      <c r="AU751" s="18" t="s">
        <v>87</v>
      </c>
    </row>
    <row r="752" spans="2:51" s="13" customFormat="1" ht="11.25">
      <c r="B752" s="156"/>
      <c r="D752" s="142" t="s">
        <v>193</v>
      </c>
      <c r="E752" s="157" t="s">
        <v>3</v>
      </c>
      <c r="F752" s="158" t="s">
        <v>2898</v>
      </c>
      <c r="H752" s="157" t="s">
        <v>3</v>
      </c>
      <c r="I752" s="159"/>
      <c r="L752" s="156"/>
      <c r="M752" s="160"/>
      <c r="T752" s="161"/>
      <c r="AT752" s="157" t="s">
        <v>193</v>
      </c>
      <c r="AU752" s="157" t="s">
        <v>87</v>
      </c>
      <c r="AV752" s="13" t="s">
        <v>85</v>
      </c>
      <c r="AW752" s="13" t="s">
        <v>36</v>
      </c>
      <c r="AX752" s="13" t="s">
        <v>77</v>
      </c>
      <c r="AY752" s="157" t="s">
        <v>177</v>
      </c>
    </row>
    <row r="753" spans="2:51" s="12" customFormat="1" ht="11.25">
      <c r="B753" s="149"/>
      <c r="D753" s="142" t="s">
        <v>193</v>
      </c>
      <c r="E753" s="150" t="s">
        <v>3</v>
      </c>
      <c r="F753" s="151" t="s">
        <v>2899</v>
      </c>
      <c r="H753" s="152">
        <v>33.9</v>
      </c>
      <c r="I753" s="153"/>
      <c r="L753" s="149"/>
      <c r="M753" s="154"/>
      <c r="T753" s="155"/>
      <c r="AT753" s="150" t="s">
        <v>193</v>
      </c>
      <c r="AU753" s="150" t="s">
        <v>87</v>
      </c>
      <c r="AV753" s="12" t="s">
        <v>87</v>
      </c>
      <c r="AW753" s="12" t="s">
        <v>36</v>
      </c>
      <c r="AX753" s="12" t="s">
        <v>85</v>
      </c>
      <c r="AY753" s="150" t="s">
        <v>177</v>
      </c>
    </row>
    <row r="754" spans="2:65" s="1" customFormat="1" ht="24.2" customHeight="1">
      <c r="B754" s="128"/>
      <c r="C754" s="129" t="s">
        <v>2900</v>
      </c>
      <c r="D754" s="129" t="s">
        <v>180</v>
      </c>
      <c r="E754" s="130" t="s">
        <v>2901</v>
      </c>
      <c r="F754" s="131" t="s">
        <v>2902</v>
      </c>
      <c r="G754" s="132" t="s">
        <v>183</v>
      </c>
      <c r="H754" s="133">
        <v>0.725</v>
      </c>
      <c r="I754" s="134"/>
      <c r="J754" s="135">
        <f>ROUND(I754*H754,2)</f>
        <v>0</v>
      </c>
      <c r="K754" s="131" t="s">
        <v>184</v>
      </c>
      <c r="L754" s="33"/>
      <c r="M754" s="136" t="s">
        <v>3</v>
      </c>
      <c r="N754" s="137" t="s">
        <v>48</v>
      </c>
      <c r="P754" s="138">
        <f>O754*H754</f>
        <v>0</v>
      </c>
      <c r="Q754" s="138">
        <v>0</v>
      </c>
      <c r="R754" s="138">
        <f>Q754*H754</f>
        <v>0</v>
      </c>
      <c r="S754" s="138">
        <v>0</v>
      </c>
      <c r="T754" s="139">
        <f>S754*H754</f>
        <v>0</v>
      </c>
      <c r="AR754" s="140" t="s">
        <v>237</v>
      </c>
      <c r="AT754" s="140" t="s">
        <v>180</v>
      </c>
      <c r="AU754" s="140" t="s">
        <v>87</v>
      </c>
      <c r="AY754" s="18" t="s">
        <v>177</v>
      </c>
      <c r="BE754" s="141">
        <f>IF(N754="základní",J754,0)</f>
        <v>0</v>
      </c>
      <c r="BF754" s="141">
        <f>IF(N754="snížená",J754,0)</f>
        <v>0</v>
      </c>
      <c r="BG754" s="141">
        <f>IF(N754="zákl. přenesená",J754,0)</f>
        <v>0</v>
      </c>
      <c r="BH754" s="141">
        <f>IF(N754="sníž. přenesená",J754,0)</f>
        <v>0</v>
      </c>
      <c r="BI754" s="141">
        <f>IF(N754="nulová",J754,0)</f>
        <v>0</v>
      </c>
      <c r="BJ754" s="18" t="s">
        <v>85</v>
      </c>
      <c r="BK754" s="141">
        <f>ROUND(I754*H754,2)</f>
        <v>0</v>
      </c>
      <c r="BL754" s="18" t="s">
        <v>237</v>
      </c>
      <c r="BM754" s="140" t="s">
        <v>2903</v>
      </c>
    </row>
    <row r="755" spans="2:47" s="1" customFormat="1" ht="29.25">
      <c r="B755" s="33"/>
      <c r="D755" s="142" t="s">
        <v>187</v>
      </c>
      <c r="F755" s="143" t="s">
        <v>2904</v>
      </c>
      <c r="I755" s="144"/>
      <c r="L755" s="33"/>
      <c r="M755" s="145"/>
      <c r="T755" s="54"/>
      <c r="AT755" s="18" t="s">
        <v>187</v>
      </c>
      <c r="AU755" s="18" t="s">
        <v>87</v>
      </c>
    </row>
    <row r="756" spans="2:47" s="1" customFormat="1" ht="11.25">
      <c r="B756" s="33"/>
      <c r="D756" s="146" t="s">
        <v>189</v>
      </c>
      <c r="F756" s="147" t="s">
        <v>2905</v>
      </c>
      <c r="I756" s="144"/>
      <c r="L756" s="33"/>
      <c r="M756" s="145"/>
      <c r="T756" s="54"/>
      <c r="AT756" s="18" t="s">
        <v>189</v>
      </c>
      <c r="AU756" s="18" t="s">
        <v>87</v>
      </c>
    </row>
    <row r="757" spans="2:47" s="1" customFormat="1" ht="126.75">
      <c r="B757" s="33"/>
      <c r="D757" s="142" t="s">
        <v>191</v>
      </c>
      <c r="F757" s="148" t="s">
        <v>2906</v>
      </c>
      <c r="I757" s="144"/>
      <c r="L757" s="33"/>
      <c r="M757" s="145"/>
      <c r="T757" s="54"/>
      <c r="AT757" s="18" t="s">
        <v>191</v>
      </c>
      <c r="AU757" s="18" t="s">
        <v>87</v>
      </c>
    </row>
    <row r="758" spans="2:65" s="1" customFormat="1" ht="24.2" customHeight="1">
      <c r="B758" s="128"/>
      <c r="C758" s="129" t="s">
        <v>2907</v>
      </c>
      <c r="D758" s="129" t="s">
        <v>180</v>
      </c>
      <c r="E758" s="130" t="s">
        <v>2908</v>
      </c>
      <c r="F758" s="131" t="s">
        <v>2909</v>
      </c>
      <c r="G758" s="132" t="s">
        <v>183</v>
      </c>
      <c r="H758" s="133">
        <v>0.725</v>
      </c>
      <c r="I758" s="134"/>
      <c r="J758" s="135">
        <f>ROUND(I758*H758,2)</f>
        <v>0</v>
      </c>
      <c r="K758" s="131" t="s">
        <v>184</v>
      </c>
      <c r="L758" s="33"/>
      <c r="M758" s="136" t="s">
        <v>3</v>
      </c>
      <c r="N758" s="137" t="s">
        <v>48</v>
      </c>
      <c r="P758" s="138">
        <f>O758*H758</f>
        <v>0</v>
      </c>
      <c r="Q758" s="138">
        <v>0</v>
      </c>
      <c r="R758" s="138">
        <f>Q758*H758</f>
        <v>0</v>
      </c>
      <c r="S758" s="138">
        <v>0</v>
      </c>
      <c r="T758" s="139">
        <f>S758*H758</f>
        <v>0</v>
      </c>
      <c r="AR758" s="140" t="s">
        <v>237</v>
      </c>
      <c r="AT758" s="140" t="s">
        <v>180</v>
      </c>
      <c r="AU758" s="140" t="s">
        <v>87</v>
      </c>
      <c r="AY758" s="18" t="s">
        <v>177</v>
      </c>
      <c r="BE758" s="141">
        <f>IF(N758="základní",J758,0)</f>
        <v>0</v>
      </c>
      <c r="BF758" s="141">
        <f>IF(N758="snížená",J758,0)</f>
        <v>0</v>
      </c>
      <c r="BG758" s="141">
        <f>IF(N758="zákl. přenesená",J758,0)</f>
        <v>0</v>
      </c>
      <c r="BH758" s="141">
        <f>IF(N758="sníž. přenesená",J758,0)</f>
        <v>0</v>
      </c>
      <c r="BI758" s="141">
        <f>IF(N758="nulová",J758,0)</f>
        <v>0</v>
      </c>
      <c r="BJ758" s="18" t="s">
        <v>85</v>
      </c>
      <c r="BK758" s="141">
        <f>ROUND(I758*H758,2)</f>
        <v>0</v>
      </c>
      <c r="BL758" s="18" t="s">
        <v>237</v>
      </c>
      <c r="BM758" s="140" t="s">
        <v>2910</v>
      </c>
    </row>
    <row r="759" spans="2:47" s="1" customFormat="1" ht="29.25">
      <c r="B759" s="33"/>
      <c r="D759" s="142" t="s">
        <v>187</v>
      </c>
      <c r="F759" s="143" t="s">
        <v>2911</v>
      </c>
      <c r="I759" s="144"/>
      <c r="L759" s="33"/>
      <c r="M759" s="145"/>
      <c r="T759" s="54"/>
      <c r="AT759" s="18" t="s">
        <v>187</v>
      </c>
      <c r="AU759" s="18" t="s">
        <v>87</v>
      </c>
    </row>
    <row r="760" spans="2:47" s="1" customFormat="1" ht="11.25">
      <c r="B760" s="33"/>
      <c r="D760" s="146" t="s">
        <v>189</v>
      </c>
      <c r="F760" s="147" t="s">
        <v>2912</v>
      </c>
      <c r="I760" s="144"/>
      <c r="L760" s="33"/>
      <c r="M760" s="145"/>
      <c r="T760" s="54"/>
      <c r="AT760" s="18" t="s">
        <v>189</v>
      </c>
      <c r="AU760" s="18" t="s">
        <v>87</v>
      </c>
    </row>
    <row r="761" spans="2:47" s="1" customFormat="1" ht="126.75">
      <c r="B761" s="33"/>
      <c r="D761" s="142" t="s">
        <v>191</v>
      </c>
      <c r="F761" s="148" t="s">
        <v>2906</v>
      </c>
      <c r="I761" s="144"/>
      <c r="L761" s="33"/>
      <c r="M761" s="145"/>
      <c r="T761" s="54"/>
      <c r="AT761" s="18" t="s">
        <v>191</v>
      </c>
      <c r="AU761" s="18" t="s">
        <v>87</v>
      </c>
    </row>
    <row r="762" spans="2:63" s="11" customFormat="1" ht="22.9" customHeight="1">
      <c r="B762" s="116"/>
      <c r="D762" s="117" t="s">
        <v>76</v>
      </c>
      <c r="E762" s="126" t="s">
        <v>1322</v>
      </c>
      <c r="F762" s="126" t="s">
        <v>1323</v>
      </c>
      <c r="I762" s="119"/>
      <c r="J762" s="127">
        <f>BK762</f>
        <v>0</v>
      </c>
      <c r="L762" s="116"/>
      <c r="M762" s="121"/>
      <c r="P762" s="122">
        <f>SUM(P763:P817)</f>
        <v>0</v>
      </c>
      <c r="R762" s="122">
        <f>SUM(R763:R817)</f>
        <v>0.22156900000000002</v>
      </c>
      <c r="T762" s="123">
        <f>SUM(T763:T817)</f>
        <v>0</v>
      </c>
      <c r="AR762" s="117" t="s">
        <v>87</v>
      </c>
      <c r="AT762" s="124" t="s">
        <v>76</v>
      </c>
      <c r="AU762" s="124" t="s">
        <v>85</v>
      </c>
      <c r="AY762" s="117" t="s">
        <v>177</v>
      </c>
      <c r="BK762" s="125">
        <f>SUM(BK763:BK817)</f>
        <v>0</v>
      </c>
    </row>
    <row r="763" spans="2:65" s="1" customFormat="1" ht="24.2" customHeight="1">
      <c r="B763" s="128"/>
      <c r="C763" s="129" t="s">
        <v>2913</v>
      </c>
      <c r="D763" s="129" t="s">
        <v>180</v>
      </c>
      <c r="E763" s="130" t="s">
        <v>2914</v>
      </c>
      <c r="F763" s="131" t="s">
        <v>2915</v>
      </c>
      <c r="G763" s="132" t="s">
        <v>236</v>
      </c>
      <c r="H763" s="133">
        <v>8</v>
      </c>
      <c r="I763" s="134"/>
      <c r="J763" s="135">
        <f>ROUND(I763*H763,2)</f>
        <v>0</v>
      </c>
      <c r="K763" s="131" t="s">
        <v>184</v>
      </c>
      <c r="L763" s="33"/>
      <c r="M763" s="136" t="s">
        <v>3</v>
      </c>
      <c r="N763" s="137" t="s">
        <v>48</v>
      </c>
      <c r="P763" s="138">
        <f>O763*H763</f>
        <v>0</v>
      </c>
      <c r="Q763" s="138">
        <v>0</v>
      </c>
      <c r="R763" s="138">
        <f>Q763*H763</f>
        <v>0</v>
      </c>
      <c r="S763" s="138">
        <v>0</v>
      </c>
      <c r="T763" s="139">
        <f>S763*H763</f>
        <v>0</v>
      </c>
      <c r="AR763" s="140" t="s">
        <v>237</v>
      </c>
      <c r="AT763" s="140" t="s">
        <v>180</v>
      </c>
      <c r="AU763" s="140" t="s">
        <v>87</v>
      </c>
      <c r="AY763" s="18" t="s">
        <v>177</v>
      </c>
      <c r="BE763" s="141">
        <f>IF(N763="základní",J763,0)</f>
        <v>0</v>
      </c>
      <c r="BF763" s="141">
        <f>IF(N763="snížená",J763,0)</f>
        <v>0</v>
      </c>
      <c r="BG763" s="141">
        <f>IF(N763="zákl. přenesená",J763,0)</f>
        <v>0</v>
      </c>
      <c r="BH763" s="141">
        <f>IF(N763="sníž. přenesená",J763,0)</f>
        <v>0</v>
      </c>
      <c r="BI763" s="141">
        <f>IF(N763="nulová",J763,0)</f>
        <v>0</v>
      </c>
      <c r="BJ763" s="18" t="s">
        <v>85</v>
      </c>
      <c r="BK763" s="141">
        <f>ROUND(I763*H763,2)</f>
        <v>0</v>
      </c>
      <c r="BL763" s="18" t="s">
        <v>237</v>
      </c>
      <c r="BM763" s="140" t="s">
        <v>2916</v>
      </c>
    </row>
    <row r="764" spans="2:47" s="1" customFormat="1" ht="19.5">
      <c r="B764" s="33"/>
      <c r="D764" s="142" t="s">
        <v>187</v>
      </c>
      <c r="F764" s="143" t="s">
        <v>2917</v>
      </c>
      <c r="I764" s="144"/>
      <c r="L764" s="33"/>
      <c r="M764" s="145"/>
      <c r="T764" s="54"/>
      <c r="AT764" s="18" t="s">
        <v>187</v>
      </c>
      <c r="AU764" s="18" t="s">
        <v>87</v>
      </c>
    </row>
    <row r="765" spans="2:47" s="1" customFormat="1" ht="11.25">
      <c r="B765" s="33"/>
      <c r="D765" s="146" t="s">
        <v>189</v>
      </c>
      <c r="F765" s="147" t="s">
        <v>2918</v>
      </c>
      <c r="I765" s="144"/>
      <c r="L765" s="33"/>
      <c r="M765" s="145"/>
      <c r="T765" s="54"/>
      <c r="AT765" s="18" t="s">
        <v>189</v>
      </c>
      <c r="AU765" s="18" t="s">
        <v>87</v>
      </c>
    </row>
    <row r="766" spans="2:65" s="1" customFormat="1" ht="24.2" customHeight="1">
      <c r="B766" s="128"/>
      <c r="C766" s="179" t="s">
        <v>2919</v>
      </c>
      <c r="D766" s="179" t="s">
        <v>484</v>
      </c>
      <c r="E766" s="180" t="s">
        <v>2920</v>
      </c>
      <c r="F766" s="181" t="s">
        <v>2921</v>
      </c>
      <c r="G766" s="182" t="s">
        <v>236</v>
      </c>
      <c r="H766" s="183">
        <v>8</v>
      </c>
      <c r="I766" s="184"/>
      <c r="J766" s="185">
        <f>ROUND(I766*H766,2)</f>
        <v>0</v>
      </c>
      <c r="K766" s="181" t="s">
        <v>184</v>
      </c>
      <c r="L766" s="186"/>
      <c r="M766" s="187" t="s">
        <v>3</v>
      </c>
      <c r="N766" s="188" t="s">
        <v>48</v>
      </c>
      <c r="P766" s="138">
        <f>O766*H766</f>
        <v>0</v>
      </c>
      <c r="Q766" s="138">
        <v>0.0118</v>
      </c>
      <c r="R766" s="138">
        <f>Q766*H766</f>
        <v>0.0944</v>
      </c>
      <c r="S766" s="138">
        <v>0</v>
      </c>
      <c r="T766" s="139">
        <f>S766*H766</f>
        <v>0</v>
      </c>
      <c r="AR766" s="140" t="s">
        <v>537</v>
      </c>
      <c r="AT766" s="140" t="s">
        <v>484</v>
      </c>
      <c r="AU766" s="140" t="s">
        <v>87</v>
      </c>
      <c r="AY766" s="18" t="s">
        <v>177</v>
      </c>
      <c r="BE766" s="141">
        <f>IF(N766="základní",J766,0)</f>
        <v>0</v>
      </c>
      <c r="BF766" s="141">
        <f>IF(N766="snížená",J766,0)</f>
        <v>0</v>
      </c>
      <c r="BG766" s="141">
        <f>IF(N766="zákl. přenesená",J766,0)</f>
        <v>0</v>
      </c>
      <c r="BH766" s="141">
        <f>IF(N766="sníž. přenesená",J766,0)</f>
        <v>0</v>
      </c>
      <c r="BI766" s="141">
        <f>IF(N766="nulová",J766,0)</f>
        <v>0</v>
      </c>
      <c r="BJ766" s="18" t="s">
        <v>85</v>
      </c>
      <c r="BK766" s="141">
        <f>ROUND(I766*H766,2)</f>
        <v>0</v>
      </c>
      <c r="BL766" s="18" t="s">
        <v>237</v>
      </c>
      <c r="BM766" s="140" t="s">
        <v>2922</v>
      </c>
    </row>
    <row r="767" spans="2:47" s="1" customFormat="1" ht="19.5">
      <c r="B767" s="33"/>
      <c r="D767" s="142" t="s">
        <v>187</v>
      </c>
      <c r="F767" s="143" t="s">
        <v>2921</v>
      </c>
      <c r="I767" s="144"/>
      <c r="L767" s="33"/>
      <c r="M767" s="145"/>
      <c r="T767" s="54"/>
      <c r="AT767" s="18" t="s">
        <v>187</v>
      </c>
      <c r="AU767" s="18" t="s">
        <v>87</v>
      </c>
    </row>
    <row r="768" spans="2:65" s="1" customFormat="1" ht="24.2" customHeight="1">
      <c r="B768" s="128"/>
      <c r="C768" s="129" t="s">
        <v>2923</v>
      </c>
      <c r="D768" s="129" t="s">
        <v>180</v>
      </c>
      <c r="E768" s="130" t="s">
        <v>2924</v>
      </c>
      <c r="F768" s="131" t="s">
        <v>2925</v>
      </c>
      <c r="G768" s="132" t="s">
        <v>476</v>
      </c>
      <c r="H768" s="133">
        <v>2.454</v>
      </c>
      <c r="I768" s="134"/>
      <c r="J768" s="135">
        <f>ROUND(I768*H768,2)</f>
        <v>0</v>
      </c>
      <c r="K768" s="131" t="s">
        <v>184</v>
      </c>
      <c r="L768" s="33"/>
      <c r="M768" s="136" t="s">
        <v>3</v>
      </c>
      <c r="N768" s="137" t="s">
        <v>48</v>
      </c>
      <c r="P768" s="138">
        <f>O768*H768</f>
        <v>0</v>
      </c>
      <c r="Q768" s="138">
        <v>0</v>
      </c>
      <c r="R768" s="138">
        <f>Q768*H768</f>
        <v>0</v>
      </c>
      <c r="S768" s="138">
        <v>0</v>
      </c>
      <c r="T768" s="139">
        <f>S768*H768</f>
        <v>0</v>
      </c>
      <c r="AR768" s="140" t="s">
        <v>237</v>
      </c>
      <c r="AT768" s="140" t="s">
        <v>180</v>
      </c>
      <c r="AU768" s="140" t="s">
        <v>87</v>
      </c>
      <c r="AY768" s="18" t="s">
        <v>177</v>
      </c>
      <c r="BE768" s="141">
        <f>IF(N768="základní",J768,0)</f>
        <v>0</v>
      </c>
      <c r="BF768" s="141">
        <f>IF(N768="snížená",J768,0)</f>
        <v>0</v>
      </c>
      <c r="BG768" s="141">
        <f>IF(N768="zákl. přenesená",J768,0)</f>
        <v>0</v>
      </c>
      <c r="BH768" s="141">
        <f>IF(N768="sníž. přenesená",J768,0)</f>
        <v>0</v>
      </c>
      <c r="BI768" s="141">
        <f>IF(N768="nulová",J768,0)</f>
        <v>0</v>
      </c>
      <c r="BJ768" s="18" t="s">
        <v>85</v>
      </c>
      <c r="BK768" s="141">
        <f>ROUND(I768*H768,2)</f>
        <v>0</v>
      </c>
      <c r="BL768" s="18" t="s">
        <v>237</v>
      </c>
      <c r="BM768" s="140" t="s">
        <v>2926</v>
      </c>
    </row>
    <row r="769" spans="2:47" s="1" customFormat="1" ht="29.25">
      <c r="B769" s="33"/>
      <c r="D769" s="142" t="s">
        <v>187</v>
      </c>
      <c r="F769" s="143" t="s">
        <v>2927</v>
      </c>
      <c r="I769" s="144"/>
      <c r="L769" s="33"/>
      <c r="M769" s="145"/>
      <c r="T769" s="54"/>
      <c r="AT769" s="18" t="s">
        <v>187</v>
      </c>
      <c r="AU769" s="18" t="s">
        <v>87</v>
      </c>
    </row>
    <row r="770" spans="2:47" s="1" customFormat="1" ht="11.25">
      <c r="B770" s="33"/>
      <c r="D770" s="146" t="s">
        <v>189</v>
      </c>
      <c r="F770" s="147" t="s">
        <v>2928</v>
      </c>
      <c r="I770" s="144"/>
      <c r="L770" s="33"/>
      <c r="M770" s="145"/>
      <c r="T770" s="54"/>
      <c r="AT770" s="18" t="s">
        <v>189</v>
      </c>
      <c r="AU770" s="18" t="s">
        <v>87</v>
      </c>
    </row>
    <row r="771" spans="2:47" s="1" customFormat="1" ht="58.5">
      <c r="B771" s="33"/>
      <c r="D771" s="142" t="s">
        <v>191</v>
      </c>
      <c r="F771" s="148" t="s">
        <v>2929</v>
      </c>
      <c r="I771" s="144"/>
      <c r="L771" s="33"/>
      <c r="M771" s="145"/>
      <c r="T771" s="54"/>
      <c r="AT771" s="18" t="s">
        <v>191</v>
      </c>
      <c r="AU771" s="18" t="s">
        <v>87</v>
      </c>
    </row>
    <row r="772" spans="2:51" s="13" customFormat="1" ht="11.25">
      <c r="B772" s="156"/>
      <c r="D772" s="142" t="s">
        <v>193</v>
      </c>
      <c r="E772" s="157" t="s">
        <v>3</v>
      </c>
      <c r="F772" s="158" t="s">
        <v>2930</v>
      </c>
      <c r="H772" s="157" t="s">
        <v>3</v>
      </c>
      <c r="I772" s="159"/>
      <c r="L772" s="156"/>
      <c r="M772" s="160"/>
      <c r="T772" s="161"/>
      <c r="AT772" s="157" t="s">
        <v>193</v>
      </c>
      <c r="AU772" s="157" t="s">
        <v>87</v>
      </c>
      <c r="AV772" s="13" t="s">
        <v>85</v>
      </c>
      <c r="AW772" s="13" t="s">
        <v>36</v>
      </c>
      <c r="AX772" s="13" t="s">
        <v>77</v>
      </c>
      <c r="AY772" s="157" t="s">
        <v>177</v>
      </c>
    </row>
    <row r="773" spans="2:51" s="12" customFormat="1" ht="11.25">
      <c r="B773" s="149"/>
      <c r="D773" s="142" t="s">
        <v>193</v>
      </c>
      <c r="E773" s="150" t="s">
        <v>3</v>
      </c>
      <c r="F773" s="151" t="s">
        <v>2931</v>
      </c>
      <c r="H773" s="152">
        <v>2.454</v>
      </c>
      <c r="I773" s="153"/>
      <c r="L773" s="149"/>
      <c r="M773" s="154"/>
      <c r="T773" s="155"/>
      <c r="AT773" s="150" t="s">
        <v>193</v>
      </c>
      <c r="AU773" s="150" t="s">
        <v>87</v>
      </c>
      <c r="AV773" s="12" t="s">
        <v>87</v>
      </c>
      <c r="AW773" s="12" t="s">
        <v>36</v>
      </c>
      <c r="AX773" s="12" t="s">
        <v>85</v>
      </c>
      <c r="AY773" s="150" t="s">
        <v>177</v>
      </c>
    </row>
    <row r="774" spans="2:65" s="1" customFormat="1" ht="24.2" customHeight="1">
      <c r="B774" s="128"/>
      <c r="C774" s="179" t="s">
        <v>2932</v>
      </c>
      <c r="D774" s="179" t="s">
        <v>484</v>
      </c>
      <c r="E774" s="180" t="s">
        <v>2933</v>
      </c>
      <c r="F774" s="181" t="s">
        <v>2934</v>
      </c>
      <c r="G774" s="182" t="s">
        <v>183</v>
      </c>
      <c r="H774" s="183">
        <v>0.044</v>
      </c>
      <c r="I774" s="184"/>
      <c r="J774" s="185">
        <f>ROUND(I774*H774,2)</f>
        <v>0</v>
      </c>
      <c r="K774" s="181" t="s">
        <v>244</v>
      </c>
      <c r="L774" s="186"/>
      <c r="M774" s="187" t="s">
        <v>3</v>
      </c>
      <c r="N774" s="188" t="s">
        <v>48</v>
      </c>
      <c r="P774" s="138">
        <f>O774*H774</f>
        <v>0</v>
      </c>
      <c r="Q774" s="138">
        <v>1</v>
      </c>
      <c r="R774" s="138">
        <f>Q774*H774</f>
        <v>0.044</v>
      </c>
      <c r="S774" s="138">
        <v>0</v>
      </c>
      <c r="T774" s="139">
        <f>S774*H774</f>
        <v>0</v>
      </c>
      <c r="AR774" s="140" t="s">
        <v>537</v>
      </c>
      <c r="AT774" s="140" t="s">
        <v>484</v>
      </c>
      <c r="AU774" s="140" t="s">
        <v>87</v>
      </c>
      <c r="AY774" s="18" t="s">
        <v>177</v>
      </c>
      <c r="BE774" s="141">
        <f>IF(N774="základní",J774,0)</f>
        <v>0</v>
      </c>
      <c r="BF774" s="141">
        <f>IF(N774="snížená",J774,0)</f>
        <v>0</v>
      </c>
      <c r="BG774" s="141">
        <f>IF(N774="zákl. přenesená",J774,0)</f>
        <v>0</v>
      </c>
      <c r="BH774" s="141">
        <f>IF(N774="sníž. přenesená",J774,0)</f>
        <v>0</v>
      </c>
      <c r="BI774" s="141">
        <f>IF(N774="nulová",J774,0)</f>
        <v>0</v>
      </c>
      <c r="BJ774" s="18" t="s">
        <v>85</v>
      </c>
      <c r="BK774" s="141">
        <f>ROUND(I774*H774,2)</f>
        <v>0</v>
      </c>
      <c r="BL774" s="18" t="s">
        <v>237</v>
      </c>
      <c r="BM774" s="140" t="s">
        <v>2935</v>
      </c>
    </row>
    <row r="775" spans="2:47" s="1" customFormat="1" ht="11.25">
      <c r="B775" s="33"/>
      <c r="D775" s="142" t="s">
        <v>187</v>
      </c>
      <c r="F775" s="143" t="s">
        <v>2936</v>
      </c>
      <c r="I775" s="144"/>
      <c r="L775" s="33"/>
      <c r="M775" s="145"/>
      <c r="T775" s="54"/>
      <c r="AT775" s="18" t="s">
        <v>187</v>
      </c>
      <c r="AU775" s="18" t="s">
        <v>87</v>
      </c>
    </row>
    <row r="776" spans="2:51" s="12" customFormat="1" ht="11.25">
      <c r="B776" s="149"/>
      <c r="D776" s="142" t="s">
        <v>193</v>
      </c>
      <c r="E776" s="150" t="s">
        <v>3</v>
      </c>
      <c r="F776" s="151" t="s">
        <v>2937</v>
      </c>
      <c r="H776" s="152">
        <v>0.044</v>
      </c>
      <c r="I776" s="153"/>
      <c r="L776" s="149"/>
      <c r="M776" s="154"/>
      <c r="T776" s="155"/>
      <c r="AT776" s="150" t="s">
        <v>193</v>
      </c>
      <c r="AU776" s="150" t="s">
        <v>87</v>
      </c>
      <c r="AV776" s="12" t="s">
        <v>87</v>
      </c>
      <c r="AW776" s="12" t="s">
        <v>36</v>
      </c>
      <c r="AX776" s="12" t="s">
        <v>85</v>
      </c>
      <c r="AY776" s="150" t="s">
        <v>177</v>
      </c>
    </row>
    <row r="777" spans="2:65" s="1" customFormat="1" ht="16.5" customHeight="1">
      <c r="B777" s="128"/>
      <c r="C777" s="179" t="s">
        <v>2938</v>
      </c>
      <c r="D777" s="179" t="s">
        <v>484</v>
      </c>
      <c r="E777" s="180" t="s">
        <v>2939</v>
      </c>
      <c r="F777" s="181" t="s">
        <v>2940</v>
      </c>
      <c r="G777" s="182" t="s">
        <v>243</v>
      </c>
      <c r="H777" s="183">
        <v>1</v>
      </c>
      <c r="I777" s="184"/>
      <c r="J777" s="185">
        <f>ROUND(I777*H777,2)</f>
        <v>0</v>
      </c>
      <c r="K777" s="181" t="s">
        <v>244</v>
      </c>
      <c r="L777" s="186"/>
      <c r="M777" s="187" t="s">
        <v>3</v>
      </c>
      <c r="N777" s="188" t="s">
        <v>48</v>
      </c>
      <c r="P777" s="138">
        <f>O777*H777</f>
        <v>0</v>
      </c>
      <c r="Q777" s="138">
        <v>0</v>
      </c>
      <c r="R777" s="138">
        <f>Q777*H777</f>
        <v>0</v>
      </c>
      <c r="S777" s="138">
        <v>0</v>
      </c>
      <c r="T777" s="139">
        <f>S777*H777</f>
        <v>0</v>
      </c>
      <c r="AR777" s="140" t="s">
        <v>537</v>
      </c>
      <c r="AT777" s="140" t="s">
        <v>484</v>
      </c>
      <c r="AU777" s="140" t="s">
        <v>87</v>
      </c>
      <c r="AY777" s="18" t="s">
        <v>177</v>
      </c>
      <c r="BE777" s="141">
        <f>IF(N777="základní",J777,0)</f>
        <v>0</v>
      </c>
      <c r="BF777" s="141">
        <f>IF(N777="snížená",J777,0)</f>
        <v>0</v>
      </c>
      <c r="BG777" s="141">
        <f>IF(N777="zákl. přenesená",J777,0)</f>
        <v>0</v>
      </c>
      <c r="BH777" s="141">
        <f>IF(N777="sníž. přenesená",J777,0)</f>
        <v>0</v>
      </c>
      <c r="BI777" s="141">
        <f>IF(N777="nulová",J777,0)</f>
        <v>0</v>
      </c>
      <c r="BJ777" s="18" t="s">
        <v>85</v>
      </c>
      <c r="BK777" s="141">
        <f>ROUND(I777*H777,2)</f>
        <v>0</v>
      </c>
      <c r="BL777" s="18" t="s">
        <v>237</v>
      </c>
      <c r="BM777" s="140" t="s">
        <v>2941</v>
      </c>
    </row>
    <row r="778" spans="2:47" s="1" customFormat="1" ht="11.25">
      <c r="B778" s="33"/>
      <c r="D778" s="142" t="s">
        <v>187</v>
      </c>
      <c r="F778" s="143" t="s">
        <v>2940</v>
      </c>
      <c r="I778" s="144"/>
      <c r="L778" s="33"/>
      <c r="M778" s="145"/>
      <c r="T778" s="54"/>
      <c r="AT778" s="18" t="s">
        <v>187</v>
      </c>
      <c r="AU778" s="18" t="s">
        <v>87</v>
      </c>
    </row>
    <row r="779" spans="2:65" s="1" customFormat="1" ht="24.2" customHeight="1">
      <c r="B779" s="128"/>
      <c r="C779" s="129" t="s">
        <v>2942</v>
      </c>
      <c r="D779" s="129" t="s">
        <v>180</v>
      </c>
      <c r="E779" s="130" t="s">
        <v>2943</v>
      </c>
      <c r="F779" s="131" t="s">
        <v>2944</v>
      </c>
      <c r="G779" s="132" t="s">
        <v>476</v>
      </c>
      <c r="H779" s="133">
        <v>4.919</v>
      </c>
      <c r="I779" s="134"/>
      <c r="J779" s="135">
        <f>ROUND(I779*H779,2)</f>
        <v>0</v>
      </c>
      <c r="K779" s="131" t="s">
        <v>184</v>
      </c>
      <c r="L779" s="33"/>
      <c r="M779" s="136" t="s">
        <v>3</v>
      </c>
      <c r="N779" s="137" t="s">
        <v>48</v>
      </c>
      <c r="P779" s="138">
        <f>O779*H779</f>
        <v>0</v>
      </c>
      <c r="Q779" s="138">
        <v>0</v>
      </c>
      <c r="R779" s="138">
        <f>Q779*H779</f>
        <v>0</v>
      </c>
      <c r="S779" s="138">
        <v>0</v>
      </c>
      <c r="T779" s="139">
        <f>S779*H779</f>
        <v>0</v>
      </c>
      <c r="AR779" s="140" t="s">
        <v>237</v>
      </c>
      <c r="AT779" s="140" t="s">
        <v>180</v>
      </c>
      <c r="AU779" s="140" t="s">
        <v>87</v>
      </c>
      <c r="AY779" s="18" t="s">
        <v>177</v>
      </c>
      <c r="BE779" s="141">
        <f>IF(N779="základní",J779,0)</f>
        <v>0</v>
      </c>
      <c r="BF779" s="141">
        <f>IF(N779="snížená",J779,0)</f>
        <v>0</v>
      </c>
      <c r="BG779" s="141">
        <f>IF(N779="zákl. přenesená",J779,0)</f>
        <v>0</v>
      </c>
      <c r="BH779" s="141">
        <f>IF(N779="sníž. přenesená",J779,0)</f>
        <v>0</v>
      </c>
      <c r="BI779" s="141">
        <f>IF(N779="nulová",J779,0)</f>
        <v>0</v>
      </c>
      <c r="BJ779" s="18" t="s">
        <v>85</v>
      </c>
      <c r="BK779" s="141">
        <f>ROUND(I779*H779,2)</f>
        <v>0</v>
      </c>
      <c r="BL779" s="18" t="s">
        <v>237</v>
      </c>
      <c r="BM779" s="140" t="s">
        <v>2945</v>
      </c>
    </row>
    <row r="780" spans="2:47" s="1" customFormat="1" ht="19.5">
      <c r="B780" s="33"/>
      <c r="D780" s="142" t="s">
        <v>187</v>
      </c>
      <c r="F780" s="143" t="s">
        <v>2946</v>
      </c>
      <c r="I780" s="144"/>
      <c r="L780" s="33"/>
      <c r="M780" s="145"/>
      <c r="T780" s="54"/>
      <c r="AT780" s="18" t="s">
        <v>187</v>
      </c>
      <c r="AU780" s="18" t="s">
        <v>87</v>
      </c>
    </row>
    <row r="781" spans="2:47" s="1" customFormat="1" ht="11.25">
      <c r="B781" s="33"/>
      <c r="D781" s="146" t="s">
        <v>189</v>
      </c>
      <c r="F781" s="147" t="s">
        <v>2947</v>
      </c>
      <c r="I781" s="144"/>
      <c r="L781" s="33"/>
      <c r="M781" s="145"/>
      <c r="T781" s="54"/>
      <c r="AT781" s="18" t="s">
        <v>189</v>
      </c>
      <c r="AU781" s="18" t="s">
        <v>87</v>
      </c>
    </row>
    <row r="782" spans="2:47" s="1" customFormat="1" ht="136.5">
      <c r="B782" s="33"/>
      <c r="D782" s="142" t="s">
        <v>191</v>
      </c>
      <c r="F782" s="148" t="s">
        <v>2948</v>
      </c>
      <c r="I782" s="144"/>
      <c r="L782" s="33"/>
      <c r="M782" s="145"/>
      <c r="T782" s="54"/>
      <c r="AT782" s="18" t="s">
        <v>191</v>
      </c>
      <c r="AU782" s="18" t="s">
        <v>87</v>
      </c>
    </row>
    <row r="783" spans="2:51" s="12" customFormat="1" ht="11.25">
      <c r="B783" s="149"/>
      <c r="D783" s="142" t="s">
        <v>193</v>
      </c>
      <c r="E783" s="150" t="s">
        <v>3</v>
      </c>
      <c r="F783" s="151" t="s">
        <v>2949</v>
      </c>
      <c r="H783" s="152">
        <v>4.472</v>
      </c>
      <c r="I783" s="153"/>
      <c r="L783" s="149"/>
      <c r="M783" s="154"/>
      <c r="T783" s="155"/>
      <c r="AT783" s="150" t="s">
        <v>193</v>
      </c>
      <c r="AU783" s="150" t="s">
        <v>87</v>
      </c>
      <c r="AV783" s="12" t="s">
        <v>87</v>
      </c>
      <c r="AW783" s="12" t="s">
        <v>36</v>
      </c>
      <c r="AX783" s="12" t="s">
        <v>85</v>
      </c>
      <c r="AY783" s="150" t="s">
        <v>177</v>
      </c>
    </row>
    <row r="784" spans="2:51" s="12" customFormat="1" ht="11.25">
      <c r="B784" s="149"/>
      <c r="D784" s="142" t="s">
        <v>193</v>
      </c>
      <c r="F784" s="151" t="s">
        <v>2950</v>
      </c>
      <c r="H784" s="152">
        <v>4.919</v>
      </c>
      <c r="I784" s="153"/>
      <c r="L784" s="149"/>
      <c r="M784" s="154"/>
      <c r="T784" s="155"/>
      <c r="AT784" s="150" t="s">
        <v>193</v>
      </c>
      <c r="AU784" s="150" t="s">
        <v>87</v>
      </c>
      <c r="AV784" s="12" t="s">
        <v>87</v>
      </c>
      <c r="AW784" s="12" t="s">
        <v>4</v>
      </c>
      <c r="AX784" s="12" t="s">
        <v>85</v>
      </c>
      <c r="AY784" s="150" t="s">
        <v>177</v>
      </c>
    </row>
    <row r="785" spans="2:65" s="1" customFormat="1" ht="16.5" customHeight="1">
      <c r="B785" s="128"/>
      <c r="C785" s="179" t="s">
        <v>2951</v>
      </c>
      <c r="D785" s="179" t="s">
        <v>484</v>
      </c>
      <c r="E785" s="180" t="s">
        <v>2952</v>
      </c>
      <c r="F785" s="181" t="s">
        <v>2953</v>
      </c>
      <c r="G785" s="182" t="s">
        <v>1628</v>
      </c>
      <c r="H785" s="183">
        <v>70.169</v>
      </c>
      <c r="I785" s="184"/>
      <c r="J785" s="185">
        <f>ROUND(I785*H785,2)</f>
        <v>0</v>
      </c>
      <c r="K785" s="181" t="s">
        <v>244</v>
      </c>
      <c r="L785" s="186"/>
      <c r="M785" s="187" t="s">
        <v>3</v>
      </c>
      <c r="N785" s="188" t="s">
        <v>48</v>
      </c>
      <c r="P785" s="138">
        <f>O785*H785</f>
        <v>0</v>
      </c>
      <c r="Q785" s="138">
        <v>0.001</v>
      </c>
      <c r="R785" s="138">
        <f>Q785*H785</f>
        <v>0.070169</v>
      </c>
      <c r="S785" s="138">
        <v>0</v>
      </c>
      <c r="T785" s="139">
        <f>S785*H785</f>
        <v>0</v>
      </c>
      <c r="AR785" s="140" t="s">
        <v>537</v>
      </c>
      <c r="AT785" s="140" t="s">
        <v>484</v>
      </c>
      <c r="AU785" s="140" t="s">
        <v>87</v>
      </c>
      <c r="AY785" s="18" t="s">
        <v>177</v>
      </c>
      <c r="BE785" s="141">
        <f>IF(N785="základní",J785,0)</f>
        <v>0</v>
      </c>
      <c r="BF785" s="141">
        <f>IF(N785="snížená",J785,0)</f>
        <v>0</v>
      </c>
      <c r="BG785" s="141">
        <f>IF(N785="zákl. přenesená",J785,0)</f>
        <v>0</v>
      </c>
      <c r="BH785" s="141">
        <f>IF(N785="sníž. přenesená",J785,0)</f>
        <v>0</v>
      </c>
      <c r="BI785" s="141">
        <f>IF(N785="nulová",J785,0)</f>
        <v>0</v>
      </c>
      <c r="BJ785" s="18" t="s">
        <v>85</v>
      </c>
      <c r="BK785" s="141">
        <f>ROUND(I785*H785,2)</f>
        <v>0</v>
      </c>
      <c r="BL785" s="18" t="s">
        <v>237</v>
      </c>
      <c r="BM785" s="140" t="s">
        <v>2954</v>
      </c>
    </row>
    <row r="786" spans="2:47" s="1" customFormat="1" ht="11.25">
      <c r="B786" s="33"/>
      <c r="D786" s="142" t="s">
        <v>187</v>
      </c>
      <c r="F786" s="143" t="s">
        <v>2953</v>
      </c>
      <c r="I786" s="144"/>
      <c r="L786" s="33"/>
      <c r="M786" s="145"/>
      <c r="T786" s="54"/>
      <c r="AT786" s="18" t="s">
        <v>187</v>
      </c>
      <c r="AU786" s="18" t="s">
        <v>87</v>
      </c>
    </row>
    <row r="787" spans="2:51" s="13" customFormat="1" ht="11.25">
      <c r="B787" s="156"/>
      <c r="D787" s="142" t="s">
        <v>193</v>
      </c>
      <c r="E787" s="157" t="s">
        <v>3</v>
      </c>
      <c r="F787" s="158" t="s">
        <v>2955</v>
      </c>
      <c r="H787" s="157" t="s">
        <v>3</v>
      </c>
      <c r="I787" s="159"/>
      <c r="L787" s="156"/>
      <c r="M787" s="160"/>
      <c r="T787" s="161"/>
      <c r="AT787" s="157" t="s">
        <v>193</v>
      </c>
      <c r="AU787" s="157" t="s">
        <v>87</v>
      </c>
      <c r="AV787" s="13" t="s">
        <v>85</v>
      </c>
      <c r="AW787" s="13" t="s">
        <v>36</v>
      </c>
      <c r="AX787" s="13" t="s">
        <v>77</v>
      </c>
      <c r="AY787" s="157" t="s">
        <v>177</v>
      </c>
    </row>
    <row r="788" spans="2:51" s="12" customFormat="1" ht="11.25">
      <c r="B788" s="149"/>
      <c r="D788" s="142" t="s">
        <v>193</v>
      </c>
      <c r="E788" s="150" t="s">
        <v>3</v>
      </c>
      <c r="F788" s="151" t="s">
        <v>2956</v>
      </c>
      <c r="H788" s="152">
        <v>20.629</v>
      </c>
      <c r="I788" s="153"/>
      <c r="L788" s="149"/>
      <c r="M788" s="154"/>
      <c r="T788" s="155"/>
      <c r="AT788" s="150" t="s">
        <v>193</v>
      </c>
      <c r="AU788" s="150" t="s">
        <v>87</v>
      </c>
      <c r="AV788" s="12" t="s">
        <v>87</v>
      </c>
      <c r="AW788" s="12" t="s">
        <v>36</v>
      </c>
      <c r="AX788" s="12" t="s">
        <v>77</v>
      </c>
      <c r="AY788" s="150" t="s">
        <v>177</v>
      </c>
    </row>
    <row r="789" spans="2:51" s="13" customFormat="1" ht="11.25">
      <c r="B789" s="156"/>
      <c r="D789" s="142" t="s">
        <v>193</v>
      </c>
      <c r="E789" s="157" t="s">
        <v>3</v>
      </c>
      <c r="F789" s="158" t="s">
        <v>2957</v>
      </c>
      <c r="H789" s="157" t="s">
        <v>3</v>
      </c>
      <c r="I789" s="159"/>
      <c r="L789" s="156"/>
      <c r="M789" s="160"/>
      <c r="T789" s="161"/>
      <c r="AT789" s="157" t="s">
        <v>193</v>
      </c>
      <c r="AU789" s="157" t="s">
        <v>87</v>
      </c>
      <c r="AV789" s="13" t="s">
        <v>85</v>
      </c>
      <c r="AW789" s="13" t="s">
        <v>36</v>
      </c>
      <c r="AX789" s="13" t="s">
        <v>77</v>
      </c>
      <c r="AY789" s="157" t="s">
        <v>177</v>
      </c>
    </row>
    <row r="790" spans="2:51" s="12" customFormat="1" ht="11.25">
      <c r="B790" s="149"/>
      <c r="D790" s="142" t="s">
        <v>193</v>
      </c>
      <c r="E790" s="150" t="s">
        <v>3</v>
      </c>
      <c r="F790" s="151" t="s">
        <v>2958</v>
      </c>
      <c r="H790" s="152">
        <v>19.298</v>
      </c>
      <c r="I790" s="153"/>
      <c r="L790" s="149"/>
      <c r="M790" s="154"/>
      <c r="T790" s="155"/>
      <c r="AT790" s="150" t="s">
        <v>193</v>
      </c>
      <c r="AU790" s="150" t="s">
        <v>87</v>
      </c>
      <c r="AV790" s="12" t="s">
        <v>87</v>
      </c>
      <c r="AW790" s="12" t="s">
        <v>36</v>
      </c>
      <c r="AX790" s="12" t="s">
        <v>77</v>
      </c>
      <c r="AY790" s="150" t="s">
        <v>177</v>
      </c>
    </row>
    <row r="791" spans="2:51" s="13" customFormat="1" ht="11.25">
      <c r="B791" s="156"/>
      <c r="D791" s="142" t="s">
        <v>193</v>
      </c>
      <c r="E791" s="157" t="s">
        <v>3</v>
      </c>
      <c r="F791" s="158" t="s">
        <v>2959</v>
      </c>
      <c r="H791" s="157" t="s">
        <v>3</v>
      </c>
      <c r="I791" s="159"/>
      <c r="L791" s="156"/>
      <c r="M791" s="160"/>
      <c r="T791" s="161"/>
      <c r="AT791" s="157" t="s">
        <v>193</v>
      </c>
      <c r="AU791" s="157" t="s">
        <v>87</v>
      </c>
      <c r="AV791" s="13" t="s">
        <v>85</v>
      </c>
      <c r="AW791" s="13" t="s">
        <v>36</v>
      </c>
      <c r="AX791" s="13" t="s">
        <v>77</v>
      </c>
      <c r="AY791" s="157" t="s">
        <v>177</v>
      </c>
    </row>
    <row r="792" spans="2:51" s="12" customFormat="1" ht="11.25">
      <c r="B792" s="149"/>
      <c r="D792" s="142" t="s">
        <v>193</v>
      </c>
      <c r="E792" s="150" t="s">
        <v>3</v>
      </c>
      <c r="F792" s="151" t="s">
        <v>2960</v>
      </c>
      <c r="H792" s="152">
        <v>8.284</v>
      </c>
      <c r="I792" s="153"/>
      <c r="L792" s="149"/>
      <c r="M792" s="154"/>
      <c r="T792" s="155"/>
      <c r="AT792" s="150" t="s">
        <v>193</v>
      </c>
      <c r="AU792" s="150" t="s">
        <v>87</v>
      </c>
      <c r="AV792" s="12" t="s">
        <v>87</v>
      </c>
      <c r="AW792" s="12" t="s">
        <v>36</v>
      </c>
      <c r="AX792" s="12" t="s">
        <v>77</v>
      </c>
      <c r="AY792" s="150" t="s">
        <v>177</v>
      </c>
    </row>
    <row r="793" spans="2:51" s="13" customFormat="1" ht="11.25">
      <c r="B793" s="156"/>
      <c r="D793" s="142" t="s">
        <v>193</v>
      </c>
      <c r="E793" s="157" t="s">
        <v>3</v>
      </c>
      <c r="F793" s="158" t="s">
        <v>2961</v>
      </c>
      <c r="H793" s="157" t="s">
        <v>3</v>
      </c>
      <c r="I793" s="159"/>
      <c r="L793" s="156"/>
      <c r="M793" s="160"/>
      <c r="T793" s="161"/>
      <c r="AT793" s="157" t="s">
        <v>193</v>
      </c>
      <c r="AU793" s="157" t="s">
        <v>87</v>
      </c>
      <c r="AV793" s="13" t="s">
        <v>85</v>
      </c>
      <c r="AW793" s="13" t="s">
        <v>36</v>
      </c>
      <c r="AX793" s="13" t="s">
        <v>77</v>
      </c>
      <c r="AY793" s="157" t="s">
        <v>177</v>
      </c>
    </row>
    <row r="794" spans="2:51" s="12" customFormat="1" ht="11.25">
      <c r="B794" s="149"/>
      <c r="D794" s="142" t="s">
        <v>193</v>
      </c>
      <c r="E794" s="150" t="s">
        <v>3</v>
      </c>
      <c r="F794" s="151" t="s">
        <v>2962</v>
      </c>
      <c r="H794" s="152">
        <v>15.558</v>
      </c>
      <c r="I794" s="153"/>
      <c r="L794" s="149"/>
      <c r="M794" s="154"/>
      <c r="T794" s="155"/>
      <c r="AT794" s="150" t="s">
        <v>193</v>
      </c>
      <c r="AU794" s="150" t="s">
        <v>87</v>
      </c>
      <c r="AV794" s="12" t="s">
        <v>87</v>
      </c>
      <c r="AW794" s="12" t="s">
        <v>36</v>
      </c>
      <c r="AX794" s="12" t="s">
        <v>77</v>
      </c>
      <c r="AY794" s="150" t="s">
        <v>177</v>
      </c>
    </row>
    <row r="795" spans="2:51" s="14" customFormat="1" ht="11.25">
      <c r="B795" s="162"/>
      <c r="D795" s="142" t="s">
        <v>193</v>
      </c>
      <c r="E795" s="163" t="s">
        <v>3</v>
      </c>
      <c r="F795" s="164" t="s">
        <v>197</v>
      </c>
      <c r="H795" s="165">
        <v>63.769</v>
      </c>
      <c r="I795" s="166"/>
      <c r="L795" s="162"/>
      <c r="M795" s="167"/>
      <c r="T795" s="168"/>
      <c r="AT795" s="163" t="s">
        <v>193</v>
      </c>
      <c r="AU795" s="163" t="s">
        <v>87</v>
      </c>
      <c r="AV795" s="14" t="s">
        <v>198</v>
      </c>
      <c r="AW795" s="14" t="s">
        <v>36</v>
      </c>
      <c r="AX795" s="14" t="s">
        <v>77</v>
      </c>
      <c r="AY795" s="163" t="s">
        <v>177</v>
      </c>
    </row>
    <row r="796" spans="2:51" s="13" customFormat="1" ht="11.25">
      <c r="B796" s="156"/>
      <c r="D796" s="142" t="s">
        <v>193</v>
      </c>
      <c r="E796" s="157" t="s">
        <v>3</v>
      </c>
      <c r="F796" s="158" t="s">
        <v>2963</v>
      </c>
      <c r="H796" s="157" t="s">
        <v>3</v>
      </c>
      <c r="I796" s="159"/>
      <c r="L796" s="156"/>
      <c r="M796" s="160"/>
      <c r="T796" s="161"/>
      <c r="AT796" s="157" t="s">
        <v>193</v>
      </c>
      <c r="AU796" s="157" t="s">
        <v>87</v>
      </c>
      <c r="AV796" s="13" t="s">
        <v>85</v>
      </c>
      <c r="AW796" s="13" t="s">
        <v>36</v>
      </c>
      <c r="AX796" s="13" t="s">
        <v>77</v>
      </c>
      <c r="AY796" s="157" t="s">
        <v>177</v>
      </c>
    </row>
    <row r="797" spans="2:51" s="12" customFormat="1" ht="11.25">
      <c r="B797" s="149"/>
      <c r="D797" s="142" t="s">
        <v>193</v>
      </c>
      <c r="E797" s="150" t="s">
        <v>3</v>
      </c>
      <c r="F797" s="151" t="s">
        <v>2964</v>
      </c>
      <c r="H797" s="152">
        <v>6.4</v>
      </c>
      <c r="I797" s="153"/>
      <c r="L797" s="149"/>
      <c r="M797" s="154"/>
      <c r="T797" s="155"/>
      <c r="AT797" s="150" t="s">
        <v>193</v>
      </c>
      <c r="AU797" s="150" t="s">
        <v>87</v>
      </c>
      <c r="AV797" s="12" t="s">
        <v>87</v>
      </c>
      <c r="AW797" s="12" t="s">
        <v>36</v>
      </c>
      <c r="AX797" s="12" t="s">
        <v>77</v>
      </c>
      <c r="AY797" s="150" t="s">
        <v>177</v>
      </c>
    </row>
    <row r="798" spans="2:51" s="15" customFormat="1" ht="11.25">
      <c r="B798" s="169"/>
      <c r="D798" s="142" t="s">
        <v>193</v>
      </c>
      <c r="E798" s="170" t="s">
        <v>3</v>
      </c>
      <c r="F798" s="171" t="s">
        <v>201</v>
      </c>
      <c r="H798" s="172">
        <v>70.169</v>
      </c>
      <c r="I798" s="173"/>
      <c r="L798" s="169"/>
      <c r="M798" s="174"/>
      <c r="T798" s="175"/>
      <c r="AT798" s="170" t="s">
        <v>193</v>
      </c>
      <c r="AU798" s="170" t="s">
        <v>87</v>
      </c>
      <c r="AV798" s="15" t="s">
        <v>185</v>
      </c>
      <c r="AW798" s="15" t="s">
        <v>36</v>
      </c>
      <c r="AX798" s="15" t="s">
        <v>85</v>
      </c>
      <c r="AY798" s="170" t="s">
        <v>177</v>
      </c>
    </row>
    <row r="799" spans="2:65" s="1" customFormat="1" ht="21.75" customHeight="1">
      <c r="B799" s="128"/>
      <c r="C799" s="129" t="s">
        <v>2965</v>
      </c>
      <c r="D799" s="129" t="s">
        <v>180</v>
      </c>
      <c r="E799" s="130" t="s">
        <v>2966</v>
      </c>
      <c r="F799" s="131" t="s">
        <v>2967</v>
      </c>
      <c r="G799" s="132" t="s">
        <v>236</v>
      </c>
      <c r="H799" s="133">
        <v>1</v>
      </c>
      <c r="I799" s="134"/>
      <c r="J799" s="135">
        <f>ROUND(I799*H799,2)</f>
        <v>0</v>
      </c>
      <c r="K799" s="131" t="s">
        <v>184</v>
      </c>
      <c r="L799" s="33"/>
      <c r="M799" s="136" t="s">
        <v>3</v>
      </c>
      <c r="N799" s="137" t="s">
        <v>48</v>
      </c>
      <c r="P799" s="138">
        <f>O799*H799</f>
        <v>0</v>
      </c>
      <c r="Q799" s="138">
        <v>0</v>
      </c>
      <c r="R799" s="138">
        <f>Q799*H799</f>
        <v>0</v>
      </c>
      <c r="S799" s="138">
        <v>0</v>
      </c>
      <c r="T799" s="139">
        <f>S799*H799</f>
        <v>0</v>
      </c>
      <c r="AR799" s="140" t="s">
        <v>237</v>
      </c>
      <c r="AT799" s="140" t="s">
        <v>180</v>
      </c>
      <c r="AU799" s="140" t="s">
        <v>87</v>
      </c>
      <c r="AY799" s="18" t="s">
        <v>177</v>
      </c>
      <c r="BE799" s="141">
        <f>IF(N799="základní",J799,0)</f>
        <v>0</v>
      </c>
      <c r="BF799" s="141">
        <f>IF(N799="snížená",J799,0)</f>
        <v>0</v>
      </c>
      <c r="BG799" s="141">
        <f>IF(N799="zákl. přenesená",J799,0)</f>
        <v>0</v>
      </c>
      <c r="BH799" s="141">
        <f>IF(N799="sníž. přenesená",J799,0)</f>
        <v>0</v>
      </c>
      <c r="BI799" s="141">
        <f>IF(N799="nulová",J799,0)</f>
        <v>0</v>
      </c>
      <c r="BJ799" s="18" t="s">
        <v>85</v>
      </c>
      <c r="BK799" s="141">
        <f>ROUND(I799*H799,2)</f>
        <v>0</v>
      </c>
      <c r="BL799" s="18" t="s">
        <v>237</v>
      </c>
      <c r="BM799" s="140" t="s">
        <v>2968</v>
      </c>
    </row>
    <row r="800" spans="2:47" s="1" customFormat="1" ht="11.25">
      <c r="B800" s="33"/>
      <c r="D800" s="142" t="s">
        <v>187</v>
      </c>
      <c r="F800" s="143" t="s">
        <v>2969</v>
      </c>
      <c r="I800" s="144"/>
      <c r="L800" s="33"/>
      <c r="M800" s="145"/>
      <c r="T800" s="54"/>
      <c r="AT800" s="18" t="s">
        <v>187</v>
      </c>
      <c r="AU800" s="18" t="s">
        <v>87</v>
      </c>
    </row>
    <row r="801" spans="2:47" s="1" customFormat="1" ht="11.25">
      <c r="B801" s="33"/>
      <c r="D801" s="146" t="s">
        <v>189</v>
      </c>
      <c r="F801" s="147" t="s">
        <v>2970</v>
      </c>
      <c r="I801" s="144"/>
      <c r="L801" s="33"/>
      <c r="M801" s="145"/>
      <c r="T801" s="54"/>
      <c r="AT801" s="18" t="s">
        <v>189</v>
      </c>
      <c r="AU801" s="18" t="s">
        <v>87</v>
      </c>
    </row>
    <row r="802" spans="2:47" s="1" customFormat="1" ht="39">
      <c r="B802" s="33"/>
      <c r="D802" s="142" t="s">
        <v>191</v>
      </c>
      <c r="F802" s="148" t="s">
        <v>2971</v>
      </c>
      <c r="I802" s="144"/>
      <c r="L802" s="33"/>
      <c r="M802" s="145"/>
      <c r="T802" s="54"/>
      <c r="AT802" s="18" t="s">
        <v>191</v>
      </c>
      <c r="AU802" s="18" t="s">
        <v>87</v>
      </c>
    </row>
    <row r="803" spans="2:65" s="1" customFormat="1" ht="16.5" customHeight="1">
      <c r="B803" s="128"/>
      <c r="C803" s="179" t="s">
        <v>2972</v>
      </c>
      <c r="D803" s="179" t="s">
        <v>484</v>
      </c>
      <c r="E803" s="180" t="s">
        <v>2973</v>
      </c>
      <c r="F803" s="181" t="s">
        <v>2974</v>
      </c>
      <c r="G803" s="182" t="s">
        <v>236</v>
      </c>
      <c r="H803" s="183">
        <v>1</v>
      </c>
      <c r="I803" s="184"/>
      <c r="J803" s="185">
        <f>ROUND(I803*H803,2)</f>
        <v>0</v>
      </c>
      <c r="K803" s="181" t="s">
        <v>244</v>
      </c>
      <c r="L803" s="186"/>
      <c r="M803" s="187" t="s">
        <v>3</v>
      </c>
      <c r="N803" s="188" t="s">
        <v>48</v>
      </c>
      <c r="P803" s="138">
        <f>O803*H803</f>
        <v>0</v>
      </c>
      <c r="Q803" s="138">
        <v>0.013</v>
      </c>
      <c r="R803" s="138">
        <f>Q803*H803</f>
        <v>0.013</v>
      </c>
      <c r="S803" s="138">
        <v>0</v>
      </c>
      <c r="T803" s="139">
        <f>S803*H803</f>
        <v>0</v>
      </c>
      <c r="AR803" s="140" t="s">
        <v>537</v>
      </c>
      <c r="AT803" s="140" t="s">
        <v>484</v>
      </c>
      <c r="AU803" s="140" t="s">
        <v>87</v>
      </c>
      <c r="AY803" s="18" t="s">
        <v>177</v>
      </c>
      <c r="BE803" s="141">
        <f>IF(N803="základní",J803,0)</f>
        <v>0</v>
      </c>
      <c r="BF803" s="141">
        <f>IF(N803="snížená",J803,0)</f>
        <v>0</v>
      </c>
      <c r="BG803" s="141">
        <f>IF(N803="zákl. přenesená",J803,0)</f>
        <v>0</v>
      </c>
      <c r="BH803" s="141">
        <f>IF(N803="sníž. přenesená",J803,0)</f>
        <v>0</v>
      </c>
      <c r="BI803" s="141">
        <f>IF(N803="nulová",J803,0)</f>
        <v>0</v>
      </c>
      <c r="BJ803" s="18" t="s">
        <v>85</v>
      </c>
      <c r="BK803" s="141">
        <f>ROUND(I803*H803,2)</f>
        <v>0</v>
      </c>
      <c r="BL803" s="18" t="s">
        <v>237</v>
      </c>
      <c r="BM803" s="140" t="s">
        <v>2975</v>
      </c>
    </row>
    <row r="804" spans="2:47" s="1" customFormat="1" ht="11.25">
      <c r="B804" s="33"/>
      <c r="D804" s="142" t="s">
        <v>187</v>
      </c>
      <c r="F804" s="143" t="s">
        <v>2976</v>
      </c>
      <c r="I804" s="144"/>
      <c r="L804" s="33"/>
      <c r="M804" s="145"/>
      <c r="T804" s="54"/>
      <c r="AT804" s="18" t="s">
        <v>187</v>
      </c>
      <c r="AU804" s="18" t="s">
        <v>87</v>
      </c>
    </row>
    <row r="805" spans="2:51" s="13" customFormat="1" ht="11.25">
      <c r="B805" s="156"/>
      <c r="D805" s="142" t="s">
        <v>193</v>
      </c>
      <c r="E805" s="157" t="s">
        <v>3</v>
      </c>
      <c r="F805" s="158" t="s">
        <v>2977</v>
      </c>
      <c r="H805" s="157" t="s">
        <v>3</v>
      </c>
      <c r="I805" s="159"/>
      <c r="L805" s="156"/>
      <c r="M805" s="160"/>
      <c r="T805" s="161"/>
      <c r="AT805" s="157" t="s">
        <v>193</v>
      </c>
      <c r="AU805" s="157" t="s">
        <v>87</v>
      </c>
      <c r="AV805" s="13" t="s">
        <v>85</v>
      </c>
      <c r="AW805" s="13" t="s">
        <v>36</v>
      </c>
      <c r="AX805" s="13" t="s">
        <v>77</v>
      </c>
      <c r="AY805" s="157" t="s">
        <v>177</v>
      </c>
    </row>
    <row r="806" spans="2:51" s="13" customFormat="1" ht="11.25">
      <c r="B806" s="156"/>
      <c r="D806" s="142" t="s">
        <v>193</v>
      </c>
      <c r="E806" s="157" t="s">
        <v>3</v>
      </c>
      <c r="F806" s="158" t="s">
        <v>2978</v>
      </c>
      <c r="H806" s="157" t="s">
        <v>3</v>
      </c>
      <c r="I806" s="159"/>
      <c r="L806" s="156"/>
      <c r="M806" s="160"/>
      <c r="T806" s="161"/>
      <c r="AT806" s="157" t="s">
        <v>193</v>
      </c>
      <c r="AU806" s="157" t="s">
        <v>87</v>
      </c>
      <c r="AV806" s="13" t="s">
        <v>85</v>
      </c>
      <c r="AW806" s="13" t="s">
        <v>36</v>
      </c>
      <c r="AX806" s="13" t="s">
        <v>77</v>
      </c>
      <c r="AY806" s="157" t="s">
        <v>177</v>
      </c>
    </row>
    <row r="807" spans="2:51" s="13" customFormat="1" ht="11.25">
      <c r="B807" s="156"/>
      <c r="D807" s="142" t="s">
        <v>193</v>
      </c>
      <c r="E807" s="157" t="s">
        <v>3</v>
      </c>
      <c r="F807" s="158" t="s">
        <v>2979</v>
      </c>
      <c r="H807" s="157" t="s">
        <v>3</v>
      </c>
      <c r="I807" s="159"/>
      <c r="L807" s="156"/>
      <c r="M807" s="160"/>
      <c r="T807" s="161"/>
      <c r="AT807" s="157" t="s">
        <v>193</v>
      </c>
      <c r="AU807" s="157" t="s">
        <v>87</v>
      </c>
      <c r="AV807" s="13" t="s">
        <v>85</v>
      </c>
      <c r="AW807" s="13" t="s">
        <v>36</v>
      </c>
      <c r="AX807" s="13" t="s">
        <v>77</v>
      </c>
      <c r="AY807" s="157" t="s">
        <v>177</v>
      </c>
    </row>
    <row r="808" spans="2:51" s="13" customFormat="1" ht="11.25">
      <c r="B808" s="156"/>
      <c r="D808" s="142" t="s">
        <v>193</v>
      </c>
      <c r="E808" s="157" t="s">
        <v>3</v>
      </c>
      <c r="F808" s="158" t="s">
        <v>2980</v>
      </c>
      <c r="H808" s="157" t="s">
        <v>3</v>
      </c>
      <c r="I808" s="159"/>
      <c r="L808" s="156"/>
      <c r="M808" s="160"/>
      <c r="T808" s="161"/>
      <c r="AT808" s="157" t="s">
        <v>193</v>
      </c>
      <c r="AU808" s="157" t="s">
        <v>87</v>
      </c>
      <c r="AV808" s="13" t="s">
        <v>85</v>
      </c>
      <c r="AW808" s="13" t="s">
        <v>36</v>
      </c>
      <c r="AX808" s="13" t="s">
        <v>77</v>
      </c>
      <c r="AY808" s="157" t="s">
        <v>177</v>
      </c>
    </row>
    <row r="809" spans="2:51" s="12" customFormat="1" ht="11.25">
      <c r="B809" s="149"/>
      <c r="D809" s="142" t="s">
        <v>193</v>
      </c>
      <c r="E809" s="150" t="s">
        <v>3</v>
      </c>
      <c r="F809" s="151" t="s">
        <v>85</v>
      </c>
      <c r="H809" s="152">
        <v>1</v>
      </c>
      <c r="I809" s="153"/>
      <c r="L809" s="149"/>
      <c r="M809" s="154"/>
      <c r="T809" s="155"/>
      <c r="AT809" s="150" t="s">
        <v>193</v>
      </c>
      <c r="AU809" s="150" t="s">
        <v>87</v>
      </c>
      <c r="AV809" s="12" t="s">
        <v>87</v>
      </c>
      <c r="AW809" s="12" t="s">
        <v>36</v>
      </c>
      <c r="AX809" s="12" t="s">
        <v>85</v>
      </c>
      <c r="AY809" s="150" t="s">
        <v>177</v>
      </c>
    </row>
    <row r="810" spans="2:65" s="1" customFormat="1" ht="24.2" customHeight="1">
      <c r="B810" s="128"/>
      <c r="C810" s="129" t="s">
        <v>2981</v>
      </c>
      <c r="D810" s="129" t="s">
        <v>180</v>
      </c>
      <c r="E810" s="130" t="s">
        <v>1646</v>
      </c>
      <c r="F810" s="131" t="s">
        <v>1647</v>
      </c>
      <c r="G810" s="132" t="s">
        <v>183</v>
      </c>
      <c r="H810" s="133">
        <v>0.222</v>
      </c>
      <c r="I810" s="134"/>
      <c r="J810" s="135">
        <f>ROUND(I810*H810,2)</f>
        <v>0</v>
      </c>
      <c r="K810" s="131" t="s">
        <v>184</v>
      </c>
      <c r="L810" s="33"/>
      <c r="M810" s="136" t="s">
        <v>3</v>
      </c>
      <c r="N810" s="137" t="s">
        <v>48</v>
      </c>
      <c r="P810" s="138">
        <f>O810*H810</f>
        <v>0</v>
      </c>
      <c r="Q810" s="138">
        <v>0</v>
      </c>
      <c r="R810" s="138">
        <f>Q810*H810</f>
        <v>0</v>
      </c>
      <c r="S810" s="138">
        <v>0</v>
      </c>
      <c r="T810" s="139">
        <f>S810*H810</f>
        <v>0</v>
      </c>
      <c r="AR810" s="140" t="s">
        <v>237</v>
      </c>
      <c r="AT810" s="140" t="s">
        <v>180</v>
      </c>
      <c r="AU810" s="140" t="s">
        <v>87</v>
      </c>
      <c r="AY810" s="18" t="s">
        <v>177</v>
      </c>
      <c r="BE810" s="141">
        <f>IF(N810="základní",J810,0)</f>
        <v>0</v>
      </c>
      <c r="BF810" s="141">
        <f>IF(N810="snížená",J810,0)</f>
        <v>0</v>
      </c>
      <c r="BG810" s="141">
        <f>IF(N810="zákl. přenesená",J810,0)</f>
        <v>0</v>
      </c>
      <c r="BH810" s="141">
        <f>IF(N810="sníž. přenesená",J810,0)</f>
        <v>0</v>
      </c>
      <c r="BI810" s="141">
        <f>IF(N810="nulová",J810,0)</f>
        <v>0</v>
      </c>
      <c r="BJ810" s="18" t="s">
        <v>85</v>
      </c>
      <c r="BK810" s="141">
        <f>ROUND(I810*H810,2)</f>
        <v>0</v>
      </c>
      <c r="BL810" s="18" t="s">
        <v>237</v>
      </c>
      <c r="BM810" s="140" t="s">
        <v>2982</v>
      </c>
    </row>
    <row r="811" spans="2:47" s="1" customFormat="1" ht="29.25">
      <c r="B811" s="33"/>
      <c r="D811" s="142" t="s">
        <v>187</v>
      </c>
      <c r="F811" s="143" t="s">
        <v>1649</v>
      </c>
      <c r="I811" s="144"/>
      <c r="L811" s="33"/>
      <c r="M811" s="145"/>
      <c r="T811" s="54"/>
      <c r="AT811" s="18" t="s">
        <v>187</v>
      </c>
      <c r="AU811" s="18" t="s">
        <v>87</v>
      </c>
    </row>
    <row r="812" spans="2:47" s="1" customFormat="1" ht="11.25">
      <c r="B812" s="33"/>
      <c r="D812" s="146" t="s">
        <v>189</v>
      </c>
      <c r="F812" s="147" t="s">
        <v>1650</v>
      </c>
      <c r="I812" s="144"/>
      <c r="L812" s="33"/>
      <c r="M812" s="145"/>
      <c r="T812" s="54"/>
      <c r="AT812" s="18" t="s">
        <v>189</v>
      </c>
      <c r="AU812" s="18" t="s">
        <v>87</v>
      </c>
    </row>
    <row r="813" spans="2:47" s="1" customFormat="1" ht="126.75">
      <c r="B813" s="33"/>
      <c r="D813" s="142" t="s">
        <v>191</v>
      </c>
      <c r="F813" s="148" t="s">
        <v>1651</v>
      </c>
      <c r="I813" s="144"/>
      <c r="L813" s="33"/>
      <c r="M813" s="145"/>
      <c r="T813" s="54"/>
      <c r="AT813" s="18" t="s">
        <v>191</v>
      </c>
      <c r="AU813" s="18" t="s">
        <v>87</v>
      </c>
    </row>
    <row r="814" spans="2:65" s="1" customFormat="1" ht="24.2" customHeight="1">
      <c r="B814" s="128"/>
      <c r="C814" s="129" t="s">
        <v>2983</v>
      </c>
      <c r="D814" s="129" t="s">
        <v>180</v>
      </c>
      <c r="E814" s="130" t="s">
        <v>1652</v>
      </c>
      <c r="F814" s="131" t="s">
        <v>1653</v>
      </c>
      <c r="G814" s="132" t="s">
        <v>183</v>
      </c>
      <c r="H814" s="133">
        <v>0.222</v>
      </c>
      <c r="I814" s="134"/>
      <c r="J814" s="135">
        <f>ROUND(I814*H814,2)</f>
        <v>0</v>
      </c>
      <c r="K814" s="131" t="s">
        <v>184</v>
      </c>
      <c r="L814" s="33"/>
      <c r="M814" s="136" t="s">
        <v>3</v>
      </c>
      <c r="N814" s="137" t="s">
        <v>48</v>
      </c>
      <c r="P814" s="138">
        <f>O814*H814</f>
        <v>0</v>
      </c>
      <c r="Q814" s="138">
        <v>0</v>
      </c>
      <c r="R814" s="138">
        <f>Q814*H814</f>
        <v>0</v>
      </c>
      <c r="S814" s="138">
        <v>0</v>
      </c>
      <c r="T814" s="139">
        <f>S814*H814</f>
        <v>0</v>
      </c>
      <c r="AR814" s="140" t="s">
        <v>237</v>
      </c>
      <c r="AT814" s="140" t="s">
        <v>180</v>
      </c>
      <c r="AU814" s="140" t="s">
        <v>87</v>
      </c>
      <c r="AY814" s="18" t="s">
        <v>177</v>
      </c>
      <c r="BE814" s="141">
        <f>IF(N814="základní",J814,0)</f>
        <v>0</v>
      </c>
      <c r="BF814" s="141">
        <f>IF(N814="snížená",J814,0)</f>
        <v>0</v>
      </c>
      <c r="BG814" s="141">
        <f>IF(N814="zákl. přenesená",J814,0)</f>
        <v>0</v>
      </c>
      <c r="BH814" s="141">
        <f>IF(N814="sníž. přenesená",J814,0)</f>
        <v>0</v>
      </c>
      <c r="BI814" s="141">
        <f>IF(N814="nulová",J814,0)</f>
        <v>0</v>
      </c>
      <c r="BJ814" s="18" t="s">
        <v>85</v>
      </c>
      <c r="BK814" s="141">
        <f>ROUND(I814*H814,2)</f>
        <v>0</v>
      </c>
      <c r="BL814" s="18" t="s">
        <v>237</v>
      </c>
      <c r="BM814" s="140" t="s">
        <v>2984</v>
      </c>
    </row>
    <row r="815" spans="2:47" s="1" customFormat="1" ht="29.25">
      <c r="B815" s="33"/>
      <c r="D815" s="142" t="s">
        <v>187</v>
      </c>
      <c r="F815" s="143" t="s">
        <v>1655</v>
      </c>
      <c r="I815" s="144"/>
      <c r="L815" s="33"/>
      <c r="M815" s="145"/>
      <c r="T815" s="54"/>
      <c r="AT815" s="18" t="s">
        <v>187</v>
      </c>
      <c r="AU815" s="18" t="s">
        <v>87</v>
      </c>
    </row>
    <row r="816" spans="2:47" s="1" customFormat="1" ht="11.25">
      <c r="B816" s="33"/>
      <c r="D816" s="146" t="s">
        <v>189</v>
      </c>
      <c r="F816" s="147" t="s">
        <v>1656</v>
      </c>
      <c r="I816" s="144"/>
      <c r="L816" s="33"/>
      <c r="M816" s="145"/>
      <c r="T816" s="54"/>
      <c r="AT816" s="18" t="s">
        <v>189</v>
      </c>
      <c r="AU816" s="18" t="s">
        <v>87</v>
      </c>
    </row>
    <row r="817" spans="2:47" s="1" customFormat="1" ht="126.75">
      <c r="B817" s="33"/>
      <c r="D817" s="142" t="s">
        <v>191</v>
      </c>
      <c r="F817" s="148" t="s">
        <v>1651</v>
      </c>
      <c r="I817" s="144"/>
      <c r="L817" s="33"/>
      <c r="M817" s="145"/>
      <c r="T817" s="54"/>
      <c r="AT817" s="18" t="s">
        <v>191</v>
      </c>
      <c r="AU817" s="18" t="s">
        <v>87</v>
      </c>
    </row>
    <row r="818" spans="2:63" s="11" customFormat="1" ht="22.9" customHeight="1">
      <c r="B818" s="116"/>
      <c r="D818" s="117" t="s">
        <v>76</v>
      </c>
      <c r="E818" s="126" t="s">
        <v>2985</v>
      </c>
      <c r="F818" s="126" t="s">
        <v>2986</v>
      </c>
      <c r="I818" s="119"/>
      <c r="J818" s="127">
        <f>BK818</f>
        <v>0</v>
      </c>
      <c r="L818" s="116"/>
      <c r="M818" s="121"/>
      <c r="P818" s="122">
        <f>SUM(P819:P887)</f>
        <v>0</v>
      </c>
      <c r="R818" s="122">
        <f>SUM(R819:R887)</f>
        <v>0.6824743799999999</v>
      </c>
      <c r="T818" s="123">
        <f>SUM(T819:T887)</f>
        <v>0</v>
      </c>
      <c r="AR818" s="117" t="s">
        <v>87</v>
      </c>
      <c r="AT818" s="124" t="s">
        <v>76</v>
      </c>
      <c r="AU818" s="124" t="s">
        <v>85</v>
      </c>
      <c r="AY818" s="117" t="s">
        <v>177</v>
      </c>
      <c r="BK818" s="125">
        <f>SUM(BK819:BK887)</f>
        <v>0</v>
      </c>
    </row>
    <row r="819" spans="2:65" s="1" customFormat="1" ht="16.5" customHeight="1">
      <c r="B819" s="128"/>
      <c r="C819" s="129" t="s">
        <v>2987</v>
      </c>
      <c r="D819" s="129" t="s">
        <v>180</v>
      </c>
      <c r="E819" s="130" t="s">
        <v>2988</v>
      </c>
      <c r="F819" s="131" t="s">
        <v>2989</v>
      </c>
      <c r="G819" s="132" t="s">
        <v>332</v>
      </c>
      <c r="H819" s="133">
        <v>15.1</v>
      </c>
      <c r="I819" s="134"/>
      <c r="J819" s="135">
        <f>ROUND(I819*H819,2)</f>
        <v>0</v>
      </c>
      <c r="K819" s="131" t="s">
        <v>184</v>
      </c>
      <c r="L819" s="33"/>
      <c r="M819" s="136" t="s">
        <v>3</v>
      </c>
      <c r="N819" s="137" t="s">
        <v>48</v>
      </c>
      <c r="P819" s="138">
        <f>O819*H819</f>
        <v>0</v>
      </c>
      <c r="Q819" s="138">
        <v>0</v>
      </c>
      <c r="R819" s="138">
        <f>Q819*H819</f>
        <v>0</v>
      </c>
      <c r="S819" s="138">
        <v>0</v>
      </c>
      <c r="T819" s="139">
        <f>S819*H819</f>
        <v>0</v>
      </c>
      <c r="AR819" s="140" t="s">
        <v>237</v>
      </c>
      <c r="AT819" s="140" t="s">
        <v>180</v>
      </c>
      <c r="AU819" s="140" t="s">
        <v>87</v>
      </c>
      <c r="AY819" s="18" t="s">
        <v>177</v>
      </c>
      <c r="BE819" s="141">
        <f>IF(N819="základní",J819,0)</f>
        <v>0</v>
      </c>
      <c r="BF819" s="141">
        <f>IF(N819="snížená",J819,0)</f>
        <v>0</v>
      </c>
      <c r="BG819" s="141">
        <f>IF(N819="zákl. přenesená",J819,0)</f>
        <v>0</v>
      </c>
      <c r="BH819" s="141">
        <f>IF(N819="sníž. přenesená",J819,0)</f>
        <v>0</v>
      </c>
      <c r="BI819" s="141">
        <f>IF(N819="nulová",J819,0)</f>
        <v>0</v>
      </c>
      <c r="BJ819" s="18" t="s">
        <v>85</v>
      </c>
      <c r="BK819" s="141">
        <f>ROUND(I819*H819,2)</f>
        <v>0</v>
      </c>
      <c r="BL819" s="18" t="s">
        <v>237</v>
      </c>
      <c r="BM819" s="140" t="s">
        <v>2990</v>
      </c>
    </row>
    <row r="820" spans="2:47" s="1" customFormat="1" ht="11.25">
      <c r="B820" s="33"/>
      <c r="D820" s="142" t="s">
        <v>187</v>
      </c>
      <c r="F820" s="143" t="s">
        <v>2991</v>
      </c>
      <c r="I820" s="144"/>
      <c r="L820" s="33"/>
      <c r="M820" s="145"/>
      <c r="T820" s="54"/>
      <c r="AT820" s="18" t="s">
        <v>187</v>
      </c>
      <c r="AU820" s="18" t="s">
        <v>87</v>
      </c>
    </row>
    <row r="821" spans="2:47" s="1" customFormat="1" ht="11.25">
      <c r="B821" s="33"/>
      <c r="D821" s="146" t="s">
        <v>189</v>
      </c>
      <c r="F821" s="147" t="s">
        <v>2992</v>
      </c>
      <c r="I821" s="144"/>
      <c r="L821" s="33"/>
      <c r="M821" s="145"/>
      <c r="T821" s="54"/>
      <c r="AT821" s="18" t="s">
        <v>189</v>
      </c>
      <c r="AU821" s="18" t="s">
        <v>87</v>
      </c>
    </row>
    <row r="822" spans="2:47" s="1" customFormat="1" ht="78">
      <c r="B822" s="33"/>
      <c r="D822" s="142" t="s">
        <v>191</v>
      </c>
      <c r="F822" s="148" t="s">
        <v>2993</v>
      </c>
      <c r="I822" s="144"/>
      <c r="L822" s="33"/>
      <c r="M822" s="145"/>
      <c r="T822" s="54"/>
      <c r="AT822" s="18" t="s">
        <v>191</v>
      </c>
      <c r="AU822" s="18" t="s">
        <v>87</v>
      </c>
    </row>
    <row r="823" spans="2:65" s="1" customFormat="1" ht="16.5" customHeight="1">
      <c r="B823" s="128"/>
      <c r="C823" s="129" t="s">
        <v>2994</v>
      </c>
      <c r="D823" s="129" t="s">
        <v>180</v>
      </c>
      <c r="E823" s="130" t="s">
        <v>2995</v>
      </c>
      <c r="F823" s="131" t="s">
        <v>2996</v>
      </c>
      <c r="G823" s="132" t="s">
        <v>332</v>
      </c>
      <c r="H823" s="133">
        <v>25.18</v>
      </c>
      <c r="I823" s="134"/>
      <c r="J823" s="135">
        <f>ROUND(I823*H823,2)</f>
        <v>0</v>
      </c>
      <c r="K823" s="131" t="s">
        <v>184</v>
      </c>
      <c r="L823" s="33"/>
      <c r="M823" s="136" t="s">
        <v>3</v>
      </c>
      <c r="N823" s="137" t="s">
        <v>48</v>
      </c>
      <c r="P823" s="138">
        <f>O823*H823</f>
        <v>0</v>
      </c>
      <c r="Q823" s="138">
        <v>0.0003</v>
      </c>
      <c r="R823" s="138">
        <f>Q823*H823</f>
        <v>0.007553999999999999</v>
      </c>
      <c r="S823" s="138">
        <v>0</v>
      </c>
      <c r="T823" s="139">
        <f>S823*H823</f>
        <v>0</v>
      </c>
      <c r="AR823" s="140" t="s">
        <v>237</v>
      </c>
      <c r="AT823" s="140" t="s">
        <v>180</v>
      </c>
      <c r="AU823" s="140" t="s">
        <v>87</v>
      </c>
      <c r="AY823" s="18" t="s">
        <v>177</v>
      </c>
      <c r="BE823" s="141">
        <f>IF(N823="základní",J823,0)</f>
        <v>0</v>
      </c>
      <c r="BF823" s="141">
        <f>IF(N823="snížená",J823,0)</f>
        <v>0</v>
      </c>
      <c r="BG823" s="141">
        <f>IF(N823="zákl. přenesená",J823,0)</f>
        <v>0</v>
      </c>
      <c r="BH823" s="141">
        <f>IF(N823="sníž. přenesená",J823,0)</f>
        <v>0</v>
      </c>
      <c r="BI823" s="141">
        <f>IF(N823="nulová",J823,0)</f>
        <v>0</v>
      </c>
      <c r="BJ823" s="18" t="s">
        <v>85</v>
      </c>
      <c r="BK823" s="141">
        <f>ROUND(I823*H823,2)</f>
        <v>0</v>
      </c>
      <c r="BL823" s="18" t="s">
        <v>237</v>
      </c>
      <c r="BM823" s="140" t="s">
        <v>2997</v>
      </c>
    </row>
    <row r="824" spans="2:47" s="1" customFormat="1" ht="19.5">
      <c r="B824" s="33"/>
      <c r="D824" s="142" t="s">
        <v>187</v>
      </c>
      <c r="F824" s="143" t="s">
        <v>2998</v>
      </c>
      <c r="I824" s="144"/>
      <c r="L824" s="33"/>
      <c r="M824" s="145"/>
      <c r="T824" s="54"/>
      <c r="AT824" s="18" t="s">
        <v>187</v>
      </c>
      <c r="AU824" s="18" t="s">
        <v>87</v>
      </c>
    </row>
    <row r="825" spans="2:47" s="1" customFormat="1" ht="11.25">
      <c r="B825" s="33"/>
      <c r="D825" s="146" t="s">
        <v>189</v>
      </c>
      <c r="F825" s="147" t="s">
        <v>2999</v>
      </c>
      <c r="I825" s="144"/>
      <c r="L825" s="33"/>
      <c r="M825" s="145"/>
      <c r="T825" s="54"/>
      <c r="AT825" s="18" t="s">
        <v>189</v>
      </c>
      <c r="AU825" s="18" t="s">
        <v>87</v>
      </c>
    </row>
    <row r="826" spans="2:47" s="1" customFormat="1" ht="78">
      <c r="B826" s="33"/>
      <c r="D826" s="142" t="s">
        <v>191</v>
      </c>
      <c r="F826" s="148" t="s">
        <v>2993</v>
      </c>
      <c r="I826" s="144"/>
      <c r="L826" s="33"/>
      <c r="M826" s="145"/>
      <c r="T826" s="54"/>
      <c r="AT826" s="18" t="s">
        <v>191</v>
      </c>
      <c r="AU826" s="18" t="s">
        <v>87</v>
      </c>
    </row>
    <row r="827" spans="2:51" s="12" customFormat="1" ht="11.25">
      <c r="B827" s="149"/>
      <c r="D827" s="142" t="s">
        <v>193</v>
      </c>
      <c r="E827" s="150" t="s">
        <v>3</v>
      </c>
      <c r="F827" s="151" t="s">
        <v>2579</v>
      </c>
      <c r="H827" s="152">
        <v>15.1</v>
      </c>
      <c r="I827" s="153"/>
      <c r="L827" s="149"/>
      <c r="M827" s="154"/>
      <c r="T827" s="155"/>
      <c r="AT827" s="150" t="s">
        <v>193</v>
      </c>
      <c r="AU827" s="150" t="s">
        <v>87</v>
      </c>
      <c r="AV827" s="12" t="s">
        <v>87</v>
      </c>
      <c r="AW827" s="12" t="s">
        <v>36</v>
      </c>
      <c r="AX827" s="12" t="s">
        <v>77</v>
      </c>
      <c r="AY827" s="150" t="s">
        <v>177</v>
      </c>
    </row>
    <row r="828" spans="2:51" s="12" customFormat="1" ht="11.25">
      <c r="B828" s="149"/>
      <c r="D828" s="142" t="s">
        <v>193</v>
      </c>
      <c r="E828" s="150" t="s">
        <v>3</v>
      </c>
      <c r="F828" s="151" t="s">
        <v>3000</v>
      </c>
      <c r="H828" s="152">
        <v>10.08</v>
      </c>
      <c r="I828" s="153"/>
      <c r="L828" s="149"/>
      <c r="M828" s="154"/>
      <c r="T828" s="155"/>
      <c r="AT828" s="150" t="s">
        <v>193</v>
      </c>
      <c r="AU828" s="150" t="s">
        <v>87</v>
      </c>
      <c r="AV828" s="12" t="s">
        <v>87</v>
      </c>
      <c r="AW828" s="12" t="s">
        <v>36</v>
      </c>
      <c r="AX828" s="12" t="s">
        <v>77</v>
      </c>
      <c r="AY828" s="150" t="s">
        <v>177</v>
      </c>
    </row>
    <row r="829" spans="2:51" s="15" customFormat="1" ht="11.25">
      <c r="B829" s="169"/>
      <c r="D829" s="142" t="s">
        <v>193</v>
      </c>
      <c r="E829" s="170" t="s">
        <v>3</v>
      </c>
      <c r="F829" s="171" t="s">
        <v>201</v>
      </c>
      <c r="H829" s="172">
        <v>25.18</v>
      </c>
      <c r="I829" s="173"/>
      <c r="L829" s="169"/>
      <c r="M829" s="174"/>
      <c r="T829" s="175"/>
      <c r="AT829" s="170" t="s">
        <v>193</v>
      </c>
      <c r="AU829" s="170" t="s">
        <v>87</v>
      </c>
      <c r="AV829" s="15" t="s">
        <v>185</v>
      </c>
      <c r="AW829" s="15" t="s">
        <v>36</v>
      </c>
      <c r="AX829" s="15" t="s">
        <v>85</v>
      </c>
      <c r="AY829" s="170" t="s">
        <v>177</v>
      </c>
    </row>
    <row r="830" spans="2:65" s="1" customFormat="1" ht="16.5" customHeight="1">
      <c r="B830" s="128"/>
      <c r="C830" s="129" t="s">
        <v>3001</v>
      </c>
      <c r="D830" s="129" t="s">
        <v>180</v>
      </c>
      <c r="E830" s="130" t="s">
        <v>3002</v>
      </c>
      <c r="F830" s="131" t="s">
        <v>3003</v>
      </c>
      <c r="G830" s="132" t="s">
        <v>476</v>
      </c>
      <c r="H830" s="133">
        <v>4.51</v>
      </c>
      <c r="I830" s="134"/>
      <c r="J830" s="135">
        <f>ROUND(I830*H830,2)</f>
        <v>0</v>
      </c>
      <c r="K830" s="131" t="s">
        <v>184</v>
      </c>
      <c r="L830" s="33"/>
      <c r="M830" s="136" t="s">
        <v>3</v>
      </c>
      <c r="N830" s="137" t="s">
        <v>48</v>
      </c>
      <c r="P830" s="138">
        <f>O830*H830</f>
        <v>0</v>
      </c>
      <c r="Q830" s="138">
        <v>0.000335</v>
      </c>
      <c r="R830" s="138">
        <f>Q830*H830</f>
        <v>0.00151085</v>
      </c>
      <c r="S830" s="138">
        <v>0</v>
      </c>
      <c r="T830" s="139">
        <f>S830*H830</f>
        <v>0</v>
      </c>
      <c r="AR830" s="140" t="s">
        <v>237</v>
      </c>
      <c r="AT830" s="140" t="s">
        <v>180</v>
      </c>
      <c r="AU830" s="140" t="s">
        <v>87</v>
      </c>
      <c r="AY830" s="18" t="s">
        <v>177</v>
      </c>
      <c r="BE830" s="141">
        <f>IF(N830="základní",J830,0)</f>
        <v>0</v>
      </c>
      <c r="BF830" s="141">
        <f>IF(N830="snížená",J830,0)</f>
        <v>0</v>
      </c>
      <c r="BG830" s="141">
        <f>IF(N830="zákl. přenesená",J830,0)</f>
        <v>0</v>
      </c>
      <c r="BH830" s="141">
        <f>IF(N830="sníž. přenesená",J830,0)</f>
        <v>0</v>
      </c>
      <c r="BI830" s="141">
        <f>IF(N830="nulová",J830,0)</f>
        <v>0</v>
      </c>
      <c r="BJ830" s="18" t="s">
        <v>85</v>
      </c>
      <c r="BK830" s="141">
        <f>ROUND(I830*H830,2)</f>
        <v>0</v>
      </c>
      <c r="BL830" s="18" t="s">
        <v>237</v>
      </c>
      <c r="BM830" s="140" t="s">
        <v>3004</v>
      </c>
    </row>
    <row r="831" spans="2:47" s="1" customFormat="1" ht="19.5">
      <c r="B831" s="33"/>
      <c r="D831" s="142" t="s">
        <v>187</v>
      </c>
      <c r="F831" s="143" t="s">
        <v>3005</v>
      </c>
      <c r="I831" s="144"/>
      <c r="L831" s="33"/>
      <c r="M831" s="145"/>
      <c r="T831" s="54"/>
      <c r="AT831" s="18" t="s">
        <v>187</v>
      </c>
      <c r="AU831" s="18" t="s">
        <v>87</v>
      </c>
    </row>
    <row r="832" spans="2:47" s="1" customFormat="1" ht="11.25">
      <c r="B832" s="33"/>
      <c r="D832" s="146" t="s">
        <v>189</v>
      </c>
      <c r="F832" s="147" t="s">
        <v>3006</v>
      </c>
      <c r="I832" s="144"/>
      <c r="L832" s="33"/>
      <c r="M832" s="145"/>
      <c r="T832" s="54"/>
      <c r="AT832" s="18" t="s">
        <v>189</v>
      </c>
      <c r="AU832" s="18" t="s">
        <v>87</v>
      </c>
    </row>
    <row r="833" spans="2:47" s="1" customFormat="1" ht="78">
      <c r="B833" s="33"/>
      <c r="D833" s="142" t="s">
        <v>191</v>
      </c>
      <c r="F833" s="148" t="s">
        <v>2993</v>
      </c>
      <c r="I833" s="144"/>
      <c r="L833" s="33"/>
      <c r="M833" s="145"/>
      <c r="T833" s="54"/>
      <c r="AT833" s="18" t="s">
        <v>191</v>
      </c>
      <c r="AU833" s="18" t="s">
        <v>87</v>
      </c>
    </row>
    <row r="834" spans="2:51" s="12" customFormat="1" ht="11.25">
      <c r="B834" s="149"/>
      <c r="D834" s="142" t="s">
        <v>193</v>
      </c>
      <c r="E834" s="150" t="s">
        <v>3</v>
      </c>
      <c r="F834" s="151" t="s">
        <v>3007</v>
      </c>
      <c r="H834" s="152">
        <v>4.51</v>
      </c>
      <c r="I834" s="153"/>
      <c r="L834" s="149"/>
      <c r="M834" s="154"/>
      <c r="T834" s="155"/>
      <c r="AT834" s="150" t="s">
        <v>193</v>
      </c>
      <c r="AU834" s="150" t="s">
        <v>87</v>
      </c>
      <c r="AV834" s="12" t="s">
        <v>87</v>
      </c>
      <c r="AW834" s="12" t="s">
        <v>36</v>
      </c>
      <c r="AX834" s="12" t="s">
        <v>85</v>
      </c>
      <c r="AY834" s="150" t="s">
        <v>177</v>
      </c>
    </row>
    <row r="835" spans="2:65" s="1" customFormat="1" ht="24.2" customHeight="1">
      <c r="B835" s="128"/>
      <c r="C835" s="179" t="s">
        <v>3008</v>
      </c>
      <c r="D835" s="179" t="s">
        <v>484</v>
      </c>
      <c r="E835" s="180" t="s">
        <v>3009</v>
      </c>
      <c r="F835" s="181" t="s">
        <v>3010</v>
      </c>
      <c r="G835" s="182" t="s">
        <v>476</v>
      </c>
      <c r="H835" s="183">
        <v>4.961</v>
      </c>
      <c r="I835" s="184"/>
      <c r="J835" s="185">
        <f>ROUND(I835*H835,2)</f>
        <v>0</v>
      </c>
      <c r="K835" s="181" t="s">
        <v>184</v>
      </c>
      <c r="L835" s="186"/>
      <c r="M835" s="187" t="s">
        <v>3</v>
      </c>
      <c r="N835" s="188" t="s">
        <v>48</v>
      </c>
      <c r="P835" s="138">
        <f>O835*H835</f>
        <v>0</v>
      </c>
      <c r="Q835" s="138">
        <v>0.00102</v>
      </c>
      <c r="R835" s="138">
        <f>Q835*H835</f>
        <v>0.005060220000000001</v>
      </c>
      <c r="S835" s="138">
        <v>0</v>
      </c>
      <c r="T835" s="139">
        <f>S835*H835</f>
        <v>0</v>
      </c>
      <c r="AR835" s="140" t="s">
        <v>537</v>
      </c>
      <c r="AT835" s="140" t="s">
        <v>484</v>
      </c>
      <c r="AU835" s="140" t="s">
        <v>87</v>
      </c>
      <c r="AY835" s="18" t="s">
        <v>177</v>
      </c>
      <c r="BE835" s="141">
        <f>IF(N835="základní",J835,0)</f>
        <v>0</v>
      </c>
      <c r="BF835" s="141">
        <f>IF(N835="snížená",J835,0)</f>
        <v>0</v>
      </c>
      <c r="BG835" s="141">
        <f>IF(N835="zákl. přenesená",J835,0)</f>
        <v>0</v>
      </c>
      <c r="BH835" s="141">
        <f>IF(N835="sníž. přenesená",J835,0)</f>
        <v>0</v>
      </c>
      <c r="BI835" s="141">
        <f>IF(N835="nulová",J835,0)</f>
        <v>0</v>
      </c>
      <c r="BJ835" s="18" t="s">
        <v>85</v>
      </c>
      <c r="BK835" s="141">
        <f>ROUND(I835*H835,2)</f>
        <v>0</v>
      </c>
      <c r="BL835" s="18" t="s">
        <v>237</v>
      </c>
      <c r="BM835" s="140" t="s">
        <v>3011</v>
      </c>
    </row>
    <row r="836" spans="2:47" s="1" customFormat="1" ht="19.5">
      <c r="B836" s="33"/>
      <c r="D836" s="142" t="s">
        <v>187</v>
      </c>
      <c r="F836" s="143" t="s">
        <v>3010</v>
      </c>
      <c r="I836" s="144"/>
      <c r="L836" s="33"/>
      <c r="M836" s="145"/>
      <c r="T836" s="54"/>
      <c r="AT836" s="18" t="s">
        <v>187</v>
      </c>
      <c r="AU836" s="18" t="s">
        <v>87</v>
      </c>
    </row>
    <row r="837" spans="2:51" s="12" customFormat="1" ht="11.25">
      <c r="B837" s="149"/>
      <c r="D837" s="142" t="s">
        <v>193</v>
      </c>
      <c r="F837" s="151" t="s">
        <v>3012</v>
      </c>
      <c r="H837" s="152">
        <v>4.961</v>
      </c>
      <c r="I837" s="153"/>
      <c r="L837" s="149"/>
      <c r="M837" s="154"/>
      <c r="T837" s="155"/>
      <c r="AT837" s="150" t="s">
        <v>193</v>
      </c>
      <c r="AU837" s="150" t="s">
        <v>87</v>
      </c>
      <c r="AV837" s="12" t="s">
        <v>87</v>
      </c>
      <c r="AW837" s="12" t="s">
        <v>4</v>
      </c>
      <c r="AX837" s="12" t="s">
        <v>85</v>
      </c>
      <c r="AY837" s="150" t="s">
        <v>177</v>
      </c>
    </row>
    <row r="838" spans="2:65" s="1" customFormat="1" ht="33" customHeight="1">
      <c r="B838" s="128"/>
      <c r="C838" s="129" t="s">
        <v>3013</v>
      </c>
      <c r="D838" s="129" t="s">
        <v>180</v>
      </c>
      <c r="E838" s="130" t="s">
        <v>3014</v>
      </c>
      <c r="F838" s="131" t="s">
        <v>3015</v>
      </c>
      <c r="G838" s="132" t="s">
        <v>476</v>
      </c>
      <c r="H838" s="133">
        <v>22.4</v>
      </c>
      <c r="I838" s="134"/>
      <c r="J838" s="135">
        <f>ROUND(I838*H838,2)</f>
        <v>0</v>
      </c>
      <c r="K838" s="131" t="s">
        <v>184</v>
      </c>
      <c r="L838" s="33"/>
      <c r="M838" s="136" t="s">
        <v>3</v>
      </c>
      <c r="N838" s="137" t="s">
        <v>48</v>
      </c>
      <c r="P838" s="138">
        <f>O838*H838</f>
        <v>0</v>
      </c>
      <c r="Q838" s="138">
        <v>0.00153</v>
      </c>
      <c r="R838" s="138">
        <f>Q838*H838</f>
        <v>0.034272</v>
      </c>
      <c r="S838" s="138">
        <v>0</v>
      </c>
      <c r="T838" s="139">
        <f>S838*H838</f>
        <v>0</v>
      </c>
      <c r="AR838" s="140" t="s">
        <v>237</v>
      </c>
      <c r="AT838" s="140" t="s">
        <v>180</v>
      </c>
      <c r="AU838" s="140" t="s">
        <v>87</v>
      </c>
      <c r="AY838" s="18" t="s">
        <v>177</v>
      </c>
      <c r="BE838" s="141">
        <f>IF(N838="základní",J838,0)</f>
        <v>0</v>
      </c>
      <c r="BF838" s="141">
        <f>IF(N838="snížená",J838,0)</f>
        <v>0</v>
      </c>
      <c r="BG838" s="141">
        <f>IF(N838="zákl. přenesená",J838,0)</f>
        <v>0</v>
      </c>
      <c r="BH838" s="141">
        <f>IF(N838="sníž. přenesená",J838,0)</f>
        <v>0</v>
      </c>
      <c r="BI838" s="141">
        <f>IF(N838="nulová",J838,0)</f>
        <v>0</v>
      </c>
      <c r="BJ838" s="18" t="s">
        <v>85</v>
      </c>
      <c r="BK838" s="141">
        <f>ROUND(I838*H838,2)</f>
        <v>0</v>
      </c>
      <c r="BL838" s="18" t="s">
        <v>237</v>
      </c>
      <c r="BM838" s="140" t="s">
        <v>3016</v>
      </c>
    </row>
    <row r="839" spans="2:47" s="1" customFormat="1" ht="29.25">
      <c r="B839" s="33"/>
      <c r="D839" s="142" t="s">
        <v>187</v>
      </c>
      <c r="F839" s="143" t="s">
        <v>3017</v>
      </c>
      <c r="I839" s="144"/>
      <c r="L839" s="33"/>
      <c r="M839" s="145"/>
      <c r="T839" s="54"/>
      <c r="AT839" s="18" t="s">
        <v>187</v>
      </c>
      <c r="AU839" s="18" t="s">
        <v>87</v>
      </c>
    </row>
    <row r="840" spans="2:47" s="1" customFormat="1" ht="11.25">
      <c r="B840" s="33"/>
      <c r="D840" s="146" t="s">
        <v>189</v>
      </c>
      <c r="F840" s="147" t="s">
        <v>3018</v>
      </c>
      <c r="I840" s="144"/>
      <c r="L840" s="33"/>
      <c r="M840" s="145"/>
      <c r="T840" s="54"/>
      <c r="AT840" s="18" t="s">
        <v>189</v>
      </c>
      <c r="AU840" s="18" t="s">
        <v>87</v>
      </c>
    </row>
    <row r="841" spans="2:47" s="1" customFormat="1" ht="58.5">
      <c r="B841" s="33"/>
      <c r="D841" s="142" t="s">
        <v>191</v>
      </c>
      <c r="F841" s="148" t="s">
        <v>3019</v>
      </c>
      <c r="I841" s="144"/>
      <c r="L841" s="33"/>
      <c r="M841" s="145"/>
      <c r="T841" s="54"/>
      <c r="AT841" s="18" t="s">
        <v>191</v>
      </c>
      <c r="AU841" s="18" t="s">
        <v>87</v>
      </c>
    </row>
    <row r="842" spans="2:51" s="12" customFormat="1" ht="11.25">
      <c r="B842" s="149"/>
      <c r="D842" s="142" t="s">
        <v>193</v>
      </c>
      <c r="E842" s="150" t="s">
        <v>3</v>
      </c>
      <c r="F842" s="151" t="s">
        <v>3020</v>
      </c>
      <c r="H842" s="152">
        <v>22.4</v>
      </c>
      <c r="I842" s="153"/>
      <c r="L842" s="149"/>
      <c r="M842" s="154"/>
      <c r="T842" s="155"/>
      <c r="AT842" s="150" t="s">
        <v>193</v>
      </c>
      <c r="AU842" s="150" t="s">
        <v>87</v>
      </c>
      <c r="AV842" s="12" t="s">
        <v>87</v>
      </c>
      <c r="AW842" s="12" t="s">
        <v>36</v>
      </c>
      <c r="AX842" s="12" t="s">
        <v>85</v>
      </c>
      <c r="AY842" s="150" t="s">
        <v>177</v>
      </c>
    </row>
    <row r="843" spans="2:65" s="1" customFormat="1" ht="24.2" customHeight="1">
      <c r="B843" s="128"/>
      <c r="C843" s="129" t="s">
        <v>3021</v>
      </c>
      <c r="D843" s="129" t="s">
        <v>180</v>
      </c>
      <c r="E843" s="130" t="s">
        <v>3022</v>
      </c>
      <c r="F843" s="131" t="s">
        <v>3023</v>
      </c>
      <c r="G843" s="132" t="s">
        <v>476</v>
      </c>
      <c r="H843" s="133">
        <v>22.4</v>
      </c>
      <c r="I843" s="134"/>
      <c r="J843" s="135">
        <f>ROUND(I843*H843,2)</f>
        <v>0</v>
      </c>
      <c r="K843" s="131" t="s">
        <v>184</v>
      </c>
      <c r="L843" s="33"/>
      <c r="M843" s="136" t="s">
        <v>3</v>
      </c>
      <c r="N843" s="137" t="s">
        <v>48</v>
      </c>
      <c r="P843" s="138">
        <f>O843*H843</f>
        <v>0</v>
      </c>
      <c r="Q843" s="138">
        <v>0.00075</v>
      </c>
      <c r="R843" s="138">
        <f>Q843*H843</f>
        <v>0.0168</v>
      </c>
      <c r="S843" s="138">
        <v>0</v>
      </c>
      <c r="T843" s="139">
        <f>S843*H843</f>
        <v>0</v>
      </c>
      <c r="AR843" s="140" t="s">
        <v>237</v>
      </c>
      <c r="AT843" s="140" t="s">
        <v>180</v>
      </c>
      <c r="AU843" s="140" t="s">
        <v>87</v>
      </c>
      <c r="AY843" s="18" t="s">
        <v>177</v>
      </c>
      <c r="BE843" s="141">
        <f>IF(N843="základní",J843,0)</f>
        <v>0</v>
      </c>
      <c r="BF843" s="141">
        <f>IF(N843="snížená",J843,0)</f>
        <v>0</v>
      </c>
      <c r="BG843" s="141">
        <f>IF(N843="zákl. přenesená",J843,0)</f>
        <v>0</v>
      </c>
      <c r="BH843" s="141">
        <f>IF(N843="sníž. přenesená",J843,0)</f>
        <v>0</v>
      </c>
      <c r="BI843" s="141">
        <f>IF(N843="nulová",J843,0)</f>
        <v>0</v>
      </c>
      <c r="BJ843" s="18" t="s">
        <v>85</v>
      </c>
      <c r="BK843" s="141">
        <f>ROUND(I843*H843,2)</f>
        <v>0</v>
      </c>
      <c r="BL843" s="18" t="s">
        <v>237</v>
      </c>
      <c r="BM843" s="140" t="s">
        <v>3024</v>
      </c>
    </row>
    <row r="844" spans="2:47" s="1" customFormat="1" ht="29.25">
      <c r="B844" s="33"/>
      <c r="D844" s="142" t="s">
        <v>187</v>
      </c>
      <c r="F844" s="143" t="s">
        <v>3025</v>
      </c>
      <c r="I844" s="144"/>
      <c r="L844" s="33"/>
      <c r="M844" s="145"/>
      <c r="T844" s="54"/>
      <c r="AT844" s="18" t="s">
        <v>187</v>
      </c>
      <c r="AU844" s="18" t="s">
        <v>87</v>
      </c>
    </row>
    <row r="845" spans="2:47" s="1" customFormat="1" ht="11.25">
      <c r="B845" s="33"/>
      <c r="D845" s="146" t="s">
        <v>189</v>
      </c>
      <c r="F845" s="147" t="s">
        <v>3026</v>
      </c>
      <c r="I845" s="144"/>
      <c r="L845" s="33"/>
      <c r="M845" s="145"/>
      <c r="T845" s="54"/>
      <c r="AT845" s="18" t="s">
        <v>189</v>
      </c>
      <c r="AU845" s="18" t="s">
        <v>87</v>
      </c>
    </row>
    <row r="846" spans="2:47" s="1" customFormat="1" ht="58.5">
      <c r="B846" s="33"/>
      <c r="D846" s="142" t="s">
        <v>191</v>
      </c>
      <c r="F846" s="148" t="s">
        <v>3019</v>
      </c>
      <c r="I846" s="144"/>
      <c r="L846" s="33"/>
      <c r="M846" s="145"/>
      <c r="T846" s="54"/>
      <c r="AT846" s="18" t="s">
        <v>191</v>
      </c>
      <c r="AU846" s="18" t="s">
        <v>87</v>
      </c>
    </row>
    <row r="847" spans="2:65" s="1" customFormat="1" ht="24.2" customHeight="1">
      <c r="B847" s="128"/>
      <c r="C847" s="129" t="s">
        <v>3027</v>
      </c>
      <c r="D847" s="129" t="s">
        <v>180</v>
      </c>
      <c r="E847" s="130" t="s">
        <v>3028</v>
      </c>
      <c r="F847" s="131" t="s">
        <v>3029</v>
      </c>
      <c r="G847" s="132" t="s">
        <v>476</v>
      </c>
      <c r="H847" s="133">
        <v>10</v>
      </c>
      <c r="I847" s="134"/>
      <c r="J847" s="135">
        <f>ROUND(I847*H847,2)</f>
        <v>0</v>
      </c>
      <c r="K847" s="131" t="s">
        <v>184</v>
      </c>
      <c r="L847" s="33"/>
      <c r="M847" s="136" t="s">
        <v>3</v>
      </c>
      <c r="N847" s="137" t="s">
        <v>48</v>
      </c>
      <c r="P847" s="138">
        <f>O847*H847</f>
        <v>0</v>
      </c>
      <c r="Q847" s="138">
        <v>0.000584</v>
      </c>
      <c r="R847" s="138">
        <f>Q847*H847</f>
        <v>0.00584</v>
      </c>
      <c r="S847" s="138">
        <v>0</v>
      </c>
      <c r="T847" s="139">
        <f>S847*H847</f>
        <v>0</v>
      </c>
      <c r="AR847" s="140" t="s">
        <v>237</v>
      </c>
      <c r="AT847" s="140" t="s">
        <v>180</v>
      </c>
      <c r="AU847" s="140" t="s">
        <v>87</v>
      </c>
      <c r="AY847" s="18" t="s">
        <v>177</v>
      </c>
      <c r="BE847" s="141">
        <f>IF(N847="základní",J847,0)</f>
        <v>0</v>
      </c>
      <c r="BF847" s="141">
        <f>IF(N847="snížená",J847,0)</f>
        <v>0</v>
      </c>
      <c r="BG847" s="141">
        <f>IF(N847="zákl. přenesená",J847,0)</f>
        <v>0</v>
      </c>
      <c r="BH847" s="141">
        <f>IF(N847="sníž. přenesená",J847,0)</f>
        <v>0</v>
      </c>
      <c r="BI847" s="141">
        <f>IF(N847="nulová",J847,0)</f>
        <v>0</v>
      </c>
      <c r="BJ847" s="18" t="s">
        <v>85</v>
      </c>
      <c r="BK847" s="141">
        <f>ROUND(I847*H847,2)</f>
        <v>0</v>
      </c>
      <c r="BL847" s="18" t="s">
        <v>237</v>
      </c>
      <c r="BM847" s="140" t="s">
        <v>3030</v>
      </c>
    </row>
    <row r="848" spans="2:47" s="1" customFormat="1" ht="19.5">
      <c r="B848" s="33"/>
      <c r="D848" s="142" t="s">
        <v>187</v>
      </c>
      <c r="F848" s="143" t="s">
        <v>3031</v>
      </c>
      <c r="I848" s="144"/>
      <c r="L848" s="33"/>
      <c r="M848" s="145"/>
      <c r="T848" s="54"/>
      <c r="AT848" s="18" t="s">
        <v>187</v>
      </c>
      <c r="AU848" s="18" t="s">
        <v>87</v>
      </c>
    </row>
    <row r="849" spans="2:47" s="1" customFormat="1" ht="11.25">
      <c r="B849" s="33"/>
      <c r="D849" s="146" t="s">
        <v>189</v>
      </c>
      <c r="F849" s="147" t="s">
        <v>3032</v>
      </c>
      <c r="I849" s="144"/>
      <c r="L849" s="33"/>
      <c r="M849" s="145"/>
      <c r="T849" s="54"/>
      <c r="AT849" s="18" t="s">
        <v>189</v>
      </c>
      <c r="AU849" s="18" t="s">
        <v>87</v>
      </c>
    </row>
    <row r="850" spans="2:65" s="1" customFormat="1" ht="24.2" customHeight="1">
      <c r="B850" s="128"/>
      <c r="C850" s="179" t="s">
        <v>3033</v>
      </c>
      <c r="D850" s="179" t="s">
        <v>484</v>
      </c>
      <c r="E850" s="180" t="s">
        <v>3034</v>
      </c>
      <c r="F850" s="181" t="s">
        <v>3035</v>
      </c>
      <c r="G850" s="182" t="s">
        <v>236</v>
      </c>
      <c r="H850" s="183">
        <v>33.333</v>
      </c>
      <c r="I850" s="184"/>
      <c r="J850" s="185">
        <f>ROUND(I850*H850,2)</f>
        <v>0</v>
      </c>
      <c r="K850" s="181" t="s">
        <v>184</v>
      </c>
      <c r="L850" s="186"/>
      <c r="M850" s="187" t="s">
        <v>3</v>
      </c>
      <c r="N850" s="188" t="s">
        <v>48</v>
      </c>
      <c r="P850" s="138">
        <f>O850*H850</f>
        <v>0</v>
      </c>
      <c r="Q850" s="138">
        <v>0.00047</v>
      </c>
      <c r="R850" s="138">
        <f>Q850*H850</f>
        <v>0.015666509999999998</v>
      </c>
      <c r="S850" s="138">
        <v>0</v>
      </c>
      <c r="T850" s="139">
        <f>S850*H850</f>
        <v>0</v>
      </c>
      <c r="AR850" s="140" t="s">
        <v>537</v>
      </c>
      <c r="AT850" s="140" t="s">
        <v>484</v>
      </c>
      <c r="AU850" s="140" t="s">
        <v>87</v>
      </c>
      <c r="AY850" s="18" t="s">
        <v>177</v>
      </c>
      <c r="BE850" s="141">
        <f>IF(N850="základní",J850,0)</f>
        <v>0</v>
      </c>
      <c r="BF850" s="141">
        <f>IF(N850="snížená",J850,0)</f>
        <v>0</v>
      </c>
      <c r="BG850" s="141">
        <f>IF(N850="zákl. přenesená",J850,0)</f>
        <v>0</v>
      </c>
      <c r="BH850" s="141">
        <f>IF(N850="sníž. přenesená",J850,0)</f>
        <v>0</v>
      </c>
      <c r="BI850" s="141">
        <f>IF(N850="nulová",J850,0)</f>
        <v>0</v>
      </c>
      <c r="BJ850" s="18" t="s">
        <v>85</v>
      </c>
      <c r="BK850" s="141">
        <f>ROUND(I850*H850,2)</f>
        <v>0</v>
      </c>
      <c r="BL850" s="18" t="s">
        <v>237</v>
      </c>
      <c r="BM850" s="140" t="s">
        <v>3036</v>
      </c>
    </row>
    <row r="851" spans="2:47" s="1" customFormat="1" ht="19.5">
      <c r="B851" s="33"/>
      <c r="D851" s="142" t="s">
        <v>187</v>
      </c>
      <c r="F851" s="143" t="s">
        <v>3035</v>
      </c>
      <c r="I851" s="144"/>
      <c r="L851" s="33"/>
      <c r="M851" s="145"/>
      <c r="T851" s="54"/>
      <c r="AT851" s="18" t="s">
        <v>187</v>
      </c>
      <c r="AU851" s="18" t="s">
        <v>87</v>
      </c>
    </row>
    <row r="852" spans="2:51" s="12" customFormat="1" ht="11.25">
      <c r="B852" s="149"/>
      <c r="D852" s="142" t="s">
        <v>193</v>
      </c>
      <c r="E852" s="150" t="s">
        <v>3</v>
      </c>
      <c r="F852" s="151" t="s">
        <v>3037</v>
      </c>
      <c r="H852" s="152">
        <v>30.303</v>
      </c>
      <c r="I852" s="153"/>
      <c r="L852" s="149"/>
      <c r="M852" s="154"/>
      <c r="T852" s="155"/>
      <c r="AT852" s="150" t="s">
        <v>193</v>
      </c>
      <c r="AU852" s="150" t="s">
        <v>87</v>
      </c>
      <c r="AV852" s="12" t="s">
        <v>87</v>
      </c>
      <c r="AW852" s="12" t="s">
        <v>36</v>
      </c>
      <c r="AX852" s="12" t="s">
        <v>85</v>
      </c>
      <c r="AY852" s="150" t="s">
        <v>177</v>
      </c>
    </row>
    <row r="853" spans="2:51" s="12" customFormat="1" ht="11.25">
      <c r="B853" s="149"/>
      <c r="D853" s="142" t="s">
        <v>193</v>
      </c>
      <c r="F853" s="151" t="s">
        <v>3038</v>
      </c>
      <c r="H853" s="152">
        <v>33.333</v>
      </c>
      <c r="I853" s="153"/>
      <c r="L853" s="149"/>
      <c r="M853" s="154"/>
      <c r="T853" s="155"/>
      <c r="AT853" s="150" t="s">
        <v>193</v>
      </c>
      <c r="AU853" s="150" t="s">
        <v>87</v>
      </c>
      <c r="AV853" s="12" t="s">
        <v>87</v>
      </c>
      <c r="AW853" s="12" t="s">
        <v>4</v>
      </c>
      <c r="AX853" s="12" t="s">
        <v>85</v>
      </c>
      <c r="AY853" s="150" t="s">
        <v>177</v>
      </c>
    </row>
    <row r="854" spans="2:65" s="1" customFormat="1" ht="37.9" customHeight="1">
      <c r="B854" s="128"/>
      <c r="C854" s="129" t="s">
        <v>3039</v>
      </c>
      <c r="D854" s="129" t="s">
        <v>180</v>
      </c>
      <c r="E854" s="130" t="s">
        <v>3040</v>
      </c>
      <c r="F854" s="131" t="s">
        <v>3041</v>
      </c>
      <c r="G854" s="132" t="s">
        <v>332</v>
      </c>
      <c r="H854" s="133">
        <v>15.1</v>
      </c>
      <c r="I854" s="134"/>
      <c r="J854" s="135">
        <f>ROUND(I854*H854,2)</f>
        <v>0</v>
      </c>
      <c r="K854" s="131" t="s">
        <v>184</v>
      </c>
      <c r="L854" s="33"/>
      <c r="M854" s="136" t="s">
        <v>3</v>
      </c>
      <c r="N854" s="137" t="s">
        <v>48</v>
      </c>
      <c r="P854" s="138">
        <f>O854*H854</f>
        <v>0</v>
      </c>
      <c r="Q854" s="138">
        <v>0.00588</v>
      </c>
      <c r="R854" s="138">
        <f>Q854*H854</f>
        <v>0.08878799999999999</v>
      </c>
      <c r="S854" s="138">
        <v>0</v>
      </c>
      <c r="T854" s="139">
        <f>S854*H854</f>
        <v>0</v>
      </c>
      <c r="AR854" s="140" t="s">
        <v>237</v>
      </c>
      <c r="AT854" s="140" t="s">
        <v>180</v>
      </c>
      <c r="AU854" s="140" t="s">
        <v>87</v>
      </c>
      <c r="AY854" s="18" t="s">
        <v>177</v>
      </c>
      <c r="BE854" s="141">
        <f>IF(N854="základní",J854,0)</f>
        <v>0</v>
      </c>
      <c r="BF854" s="141">
        <f>IF(N854="snížená",J854,0)</f>
        <v>0</v>
      </c>
      <c r="BG854" s="141">
        <f>IF(N854="zákl. přenesená",J854,0)</f>
        <v>0</v>
      </c>
      <c r="BH854" s="141">
        <f>IF(N854="sníž. přenesená",J854,0)</f>
        <v>0</v>
      </c>
      <c r="BI854" s="141">
        <f>IF(N854="nulová",J854,0)</f>
        <v>0</v>
      </c>
      <c r="BJ854" s="18" t="s">
        <v>85</v>
      </c>
      <c r="BK854" s="141">
        <f>ROUND(I854*H854,2)</f>
        <v>0</v>
      </c>
      <c r="BL854" s="18" t="s">
        <v>237</v>
      </c>
      <c r="BM854" s="140" t="s">
        <v>3042</v>
      </c>
    </row>
    <row r="855" spans="2:47" s="1" customFormat="1" ht="29.25">
      <c r="B855" s="33"/>
      <c r="D855" s="142" t="s">
        <v>187</v>
      </c>
      <c r="F855" s="143" t="s">
        <v>3043</v>
      </c>
      <c r="I855" s="144"/>
      <c r="L855" s="33"/>
      <c r="M855" s="145"/>
      <c r="T855" s="54"/>
      <c r="AT855" s="18" t="s">
        <v>187</v>
      </c>
      <c r="AU855" s="18" t="s">
        <v>87</v>
      </c>
    </row>
    <row r="856" spans="2:47" s="1" customFormat="1" ht="11.25">
      <c r="B856" s="33"/>
      <c r="D856" s="146" t="s">
        <v>189</v>
      </c>
      <c r="F856" s="147" t="s">
        <v>3044</v>
      </c>
      <c r="I856" s="144"/>
      <c r="L856" s="33"/>
      <c r="M856" s="145"/>
      <c r="T856" s="54"/>
      <c r="AT856" s="18" t="s">
        <v>189</v>
      </c>
      <c r="AU856" s="18" t="s">
        <v>87</v>
      </c>
    </row>
    <row r="857" spans="2:47" s="1" customFormat="1" ht="29.25">
      <c r="B857" s="33"/>
      <c r="D857" s="142" t="s">
        <v>191</v>
      </c>
      <c r="F857" s="148" t="s">
        <v>3045</v>
      </c>
      <c r="I857" s="144"/>
      <c r="L857" s="33"/>
      <c r="M857" s="145"/>
      <c r="T857" s="54"/>
      <c r="AT857" s="18" t="s">
        <v>191</v>
      </c>
      <c r="AU857" s="18" t="s">
        <v>87</v>
      </c>
    </row>
    <row r="858" spans="2:65" s="1" customFormat="1" ht="37.9" customHeight="1">
      <c r="B858" s="128"/>
      <c r="C858" s="179" t="s">
        <v>3046</v>
      </c>
      <c r="D858" s="179" t="s">
        <v>484</v>
      </c>
      <c r="E858" s="180" t="s">
        <v>3047</v>
      </c>
      <c r="F858" s="181" t="s">
        <v>3048</v>
      </c>
      <c r="G858" s="182" t="s">
        <v>332</v>
      </c>
      <c r="H858" s="183">
        <v>26.184</v>
      </c>
      <c r="I858" s="184"/>
      <c r="J858" s="185">
        <f>ROUND(I858*H858,2)</f>
        <v>0</v>
      </c>
      <c r="K858" s="181" t="s">
        <v>244</v>
      </c>
      <c r="L858" s="186"/>
      <c r="M858" s="187" t="s">
        <v>3</v>
      </c>
      <c r="N858" s="188" t="s">
        <v>48</v>
      </c>
      <c r="P858" s="138">
        <f>O858*H858</f>
        <v>0</v>
      </c>
      <c r="Q858" s="138">
        <v>0.0192</v>
      </c>
      <c r="R858" s="138">
        <f>Q858*H858</f>
        <v>0.5027328</v>
      </c>
      <c r="S858" s="138">
        <v>0</v>
      </c>
      <c r="T858" s="139">
        <f>S858*H858</f>
        <v>0</v>
      </c>
      <c r="AR858" s="140" t="s">
        <v>537</v>
      </c>
      <c r="AT858" s="140" t="s">
        <v>484</v>
      </c>
      <c r="AU858" s="140" t="s">
        <v>87</v>
      </c>
      <c r="AY858" s="18" t="s">
        <v>177</v>
      </c>
      <c r="BE858" s="141">
        <f>IF(N858="základní",J858,0)</f>
        <v>0</v>
      </c>
      <c r="BF858" s="141">
        <f>IF(N858="snížená",J858,0)</f>
        <v>0</v>
      </c>
      <c r="BG858" s="141">
        <f>IF(N858="zákl. přenesená",J858,0)</f>
        <v>0</v>
      </c>
      <c r="BH858" s="141">
        <f>IF(N858="sníž. přenesená",J858,0)</f>
        <v>0</v>
      </c>
      <c r="BI858" s="141">
        <f>IF(N858="nulová",J858,0)</f>
        <v>0</v>
      </c>
      <c r="BJ858" s="18" t="s">
        <v>85</v>
      </c>
      <c r="BK858" s="141">
        <f>ROUND(I858*H858,2)</f>
        <v>0</v>
      </c>
      <c r="BL858" s="18" t="s">
        <v>237</v>
      </c>
      <c r="BM858" s="140" t="s">
        <v>3049</v>
      </c>
    </row>
    <row r="859" spans="2:47" s="1" customFormat="1" ht="29.25">
      <c r="B859" s="33"/>
      <c r="D859" s="142" t="s">
        <v>187</v>
      </c>
      <c r="F859" s="143" t="s">
        <v>3048</v>
      </c>
      <c r="I859" s="144"/>
      <c r="L859" s="33"/>
      <c r="M859" s="145"/>
      <c r="T859" s="54"/>
      <c r="AT859" s="18" t="s">
        <v>187</v>
      </c>
      <c r="AU859" s="18" t="s">
        <v>87</v>
      </c>
    </row>
    <row r="860" spans="2:51" s="12" customFormat="1" ht="11.25">
      <c r="B860" s="149"/>
      <c r="D860" s="142" t="s">
        <v>193</v>
      </c>
      <c r="E860" s="150" t="s">
        <v>3</v>
      </c>
      <c r="F860" s="151" t="s">
        <v>2579</v>
      </c>
      <c r="H860" s="152">
        <v>15.1</v>
      </c>
      <c r="I860" s="153"/>
      <c r="L860" s="149"/>
      <c r="M860" s="154"/>
      <c r="T860" s="155"/>
      <c r="AT860" s="150" t="s">
        <v>193</v>
      </c>
      <c r="AU860" s="150" t="s">
        <v>87</v>
      </c>
      <c r="AV860" s="12" t="s">
        <v>87</v>
      </c>
      <c r="AW860" s="12" t="s">
        <v>36</v>
      </c>
      <c r="AX860" s="12" t="s">
        <v>77</v>
      </c>
      <c r="AY860" s="150" t="s">
        <v>177</v>
      </c>
    </row>
    <row r="861" spans="2:51" s="12" customFormat="1" ht="11.25">
      <c r="B861" s="149"/>
      <c r="D861" s="142" t="s">
        <v>193</v>
      </c>
      <c r="E861" s="150" t="s">
        <v>3</v>
      </c>
      <c r="F861" s="151" t="s">
        <v>3050</v>
      </c>
      <c r="H861" s="152">
        <v>6.72</v>
      </c>
      <c r="I861" s="153"/>
      <c r="L861" s="149"/>
      <c r="M861" s="154"/>
      <c r="T861" s="155"/>
      <c r="AT861" s="150" t="s">
        <v>193</v>
      </c>
      <c r="AU861" s="150" t="s">
        <v>87</v>
      </c>
      <c r="AV861" s="12" t="s">
        <v>87</v>
      </c>
      <c r="AW861" s="12" t="s">
        <v>36</v>
      </c>
      <c r="AX861" s="12" t="s">
        <v>77</v>
      </c>
      <c r="AY861" s="150" t="s">
        <v>177</v>
      </c>
    </row>
    <row r="862" spans="2:51" s="15" customFormat="1" ht="11.25">
      <c r="B862" s="169"/>
      <c r="D862" s="142" t="s">
        <v>193</v>
      </c>
      <c r="E862" s="170" t="s">
        <v>3</v>
      </c>
      <c r="F862" s="171" t="s">
        <v>201</v>
      </c>
      <c r="H862" s="172">
        <v>21.82</v>
      </c>
      <c r="I862" s="173"/>
      <c r="L862" s="169"/>
      <c r="M862" s="174"/>
      <c r="T862" s="175"/>
      <c r="AT862" s="170" t="s">
        <v>193</v>
      </c>
      <c r="AU862" s="170" t="s">
        <v>87</v>
      </c>
      <c r="AV862" s="15" t="s">
        <v>185</v>
      </c>
      <c r="AW862" s="15" t="s">
        <v>36</v>
      </c>
      <c r="AX862" s="15" t="s">
        <v>85</v>
      </c>
      <c r="AY862" s="170" t="s">
        <v>177</v>
      </c>
    </row>
    <row r="863" spans="2:51" s="12" customFormat="1" ht="11.25">
      <c r="B863" s="149"/>
      <c r="D863" s="142" t="s">
        <v>193</v>
      </c>
      <c r="F863" s="151" t="s">
        <v>3051</v>
      </c>
      <c r="H863" s="152">
        <v>26.184</v>
      </c>
      <c r="I863" s="153"/>
      <c r="L863" s="149"/>
      <c r="M863" s="154"/>
      <c r="T863" s="155"/>
      <c r="AT863" s="150" t="s">
        <v>193</v>
      </c>
      <c r="AU863" s="150" t="s">
        <v>87</v>
      </c>
      <c r="AV863" s="12" t="s">
        <v>87</v>
      </c>
      <c r="AW863" s="12" t="s">
        <v>4</v>
      </c>
      <c r="AX863" s="12" t="s">
        <v>85</v>
      </c>
      <c r="AY863" s="150" t="s">
        <v>177</v>
      </c>
    </row>
    <row r="864" spans="2:65" s="1" customFormat="1" ht="37.9" customHeight="1">
      <c r="B864" s="128"/>
      <c r="C864" s="129" t="s">
        <v>3052</v>
      </c>
      <c r="D864" s="129" t="s">
        <v>180</v>
      </c>
      <c r="E864" s="130" t="s">
        <v>3053</v>
      </c>
      <c r="F864" s="131" t="s">
        <v>3054</v>
      </c>
      <c r="G864" s="132" t="s">
        <v>332</v>
      </c>
      <c r="H864" s="133">
        <v>15.1</v>
      </c>
      <c r="I864" s="134"/>
      <c r="J864" s="135">
        <f>ROUND(I864*H864,2)</f>
        <v>0</v>
      </c>
      <c r="K864" s="131" t="s">
        <v>184</v>
      </c>
      <c r="L864" s="33"/>
      <c r="M864" s="136" t="s">
        <v>3</v>
      </c>
      <c r="N864" s="137" t="s">
        <v>48</v>
      </c>
      <c r="P864" s="138">
        <f>O864*H864</f>
        <v>0</v>
      </c>
      <c r="Q864" s="138">
        <v>0</v>
      </c>
      <c r="R864" s="138">
        <f>Q864*H864</f>
        <v>0</v>
      </c>
      <c r="S864" s="138">
        <v>0</v>
      </c>
      <c r="T864" s="139">
        <f>S864*H864</f>
        <v>0</v>
      </c>
      <c r="AR864" s="140" t="s">
        <v>237</v>
      </c>
      <c r="AT864" s="140" t="s">
        <v>180</v>
      </c>
      <c r="AU864" s="140" t="s">
        <v>87</v>
      </c>
      <c r="AY864" s="18" t="s">
        <v>177</v>
      </c>
      <c r="BE864" s="141">
        <f>IF(N864="základní",J864,0)</f>
        <v>0</v>
      </c>
      <c r="BF864" s="141">
        <f>IF(N864="snížená",J864,0)</f>
        <v>0</v>
      </c>
      <c r="BG864" s="141">
        <f>IF(N864="zákl. přenesená",J864,0)</f>
        <v>0</v>
      </c>
      <c r="BH864" s="141">
        <f>IF(N864="sníž. přenesená",J864,0)</f>
        <v>0</v>
      </c>
      <c r="BI864" s="141">
        <f>IF(N864="nulová",J864,0)</f>
        <v>0</v>
      </c>
      <c r="BJ864" s="18" t="s">
        <v>85</v>
      </c>
      <c r="BK864" s="141">
        <f>ROUND(I864*H864,2)</f>
        <v>0</v>
      </c>
      <c r="BL864" s="18" t="s">
        <v>237</v>
      </c>
      <c r="BM864" s="140" t="s">
        <v>3055</v>
      </c>
    </row>
    <row r="865" spans="2:47" s="1" customFormat="1" ht="19.5">
      <c r="B865" s="33"/>
      <c r="D865" s="142" t="s">
        <v>187</v>
      </c>
      <c r="F865" s="143" t="s">
        <v>3056</v>
      </c>
      <c r="I865" s="144"/>
      <c r="L865" s="33"/>
      <c r="M865" s="145"/>
      <c r="T865" s="54"/>
      <c r="AT865" s="18" t="s">
        <v>187</v>
      </c>
      <c r="AU865" s="18" t="s">
        <v>87</v>
      </c>
    </row>
    <row r="866" spans="2:47" s="1" customFormat="1" ht="11.25">
      <c r="B866" s="33"/>
      <c r="D866" s="146" t="s">
        <v>189</v>
      </c>
      <c r="F866" s="147" t="s">
        <v>3057</v>
      </c>
      <c r="I866" s="144"/>
      <c r="L866" s="33"/>
      <c r="M866" s="145"/>
      <c r="T866" s="54"/>
      <c r="AT866" s="18" t="s">
        <v>189</v>
      </c>
      <c r="AU866" s="18" t="s">
        <v>87</v>
      </c>
    </row>
    <row r="867" spans="2:47" s="1" customFormat="1" ht="29.25">
      <c r="B867" s="33"/>
      <c r="D867" s="142" t="s">
        <v>191</v>
      </c>
      <c r="F867" s="148" t="s">
        <v>3045</v>
      </c>
      <c r="I867" s="144"/>
      <c r="L867" s="33"/>
      <c r="M867" s="145"/>
      <c r="T867" s="54"/>
      <c r="AT867" s="18" t="s">
        <v>191</v>
      </c>
      <c r="AU867" s="18" t="s">
        <v>87</v>
      </c>
    </row>
    <row r="868" spans="2:65" s="1" customFormat="1" ht="16.5" customHeight="1">
      <c r="B868" s="128"/>
      <c r="C868" s="129" t="s">
        <v>3058</v>
      </c>
      <c r="D868" s="129" t="s">
        <v>180</v>
      </c>
      <c r="E868" s="130" t="s">
        <v>3059</v>
      </c>
      <c r="F868" s="131" t="s">
        <v>3060</v>
      </c>
      <c r="G868" s="132" t="s">
        <v>236</v>
      </c>
      <c r="H868" s="133">
        <v>3</v>
      </c>
      <c r="I868" s="134"/>
      <c r="J868" s="135">
        <f>ROUND(I868*H868,2)</f>
        <v>0</v>
      </c>
      <c r="K868" s="131" t="s">
        <v>184</v>
      </c>
      <c r="L868" s="33"/>
      <c r="M868" s="136" t="s">
        <v>3</v>
      </c>
      <c r="N868" s="137" t="s">
        <v>48</v>
      </c>
      <c r="P868" s="138">
        <f>O868*H868</f>
        <v>0</v>
      </c>
      <c r="Q868" s="138">
        <v>0.00021</v>
      </c>
      <c r="R868" s="138">
        <f>Q868*H868</f>
        <v>0.00063</v>
      </c>
      <c r="S868" s="138">
        <v>0</v>
      </c>
      <c r="T868" s="139">
        <f>S868*H868</f>
        <v>0</v>
      </c>
      <c r="AR868" s="140" t="s">
        <v>237</v>
      </c>
      <c r="AT868" s="140" t="s">
        <v>180</v>
      </c>
      <c r="AU868" s="140" t="s">
        <v>87</v>
      </c>
      <c r="AY868" s="18" t="s">
        <v>177</v>
      </c>
      <c r="BE868" s="141">
        <f>IF(N868="základní",J868,0)</f>
        <v>0</v>
      </c>
      <c r="BF868" s="141">
        <f>IF(N868="snížená",J868,0)</f>
        <v>0</v>
      </c>
      <c r="BG868" s="141">
        <f>IF(N868="zákl. přenesená",J868,0)</f>
        <v>0</v>
      </c>
      <c r="BH868" s="141">
        <f>IF(N868="sníž. přenesená",J868,0)</f>
        <v>0</v>
      </c>
      <c r="BI868" s="141">
        <f>IF(N868="nulová",J868,0)</f>
        <v>0</v>
      </c>
      <c r="BJ868" s="18" t="s">
        <v>85</v>
      </c>
      <c r="BK868" s="141">
        <f>ROUND(I868*H868,2)</f>
        <v>0</v>
      </c>
      <c r="BL868" s="18" t="s">
        <v>237</v>
      </c>
      <c r="BM868" s="140" t="s">
        <v>3061</v>
      </c>
    </row>
    <row r="869" spans="2:47" s="1" customFormat="1" ht="11.25">
      <c r="B869" s="33"/>
      <c r="D869" s="142" t="s">
        <v>187</v>
      </c>
      <c r="F869" s="143" t="s">
        <v>3062</v>
      </c>
      <c r="I869" s="144"/>
      <c r="L869" s="33"/>
      <c r="M869" s="145"/>
      <c r="T869" s="54"/>
      <c r="AT869" s="18" t="s">
        <v>187</v>
      </c>
      <c r="AU869" s="18" t="s">
        <v>87</v>
      </c>
    </row>
    <row r="870" spans="2:47" s="1" customFormat="1" ht="11.25">
      <c r="B870" s="33"/>
      <c r="D870" s="146" t="s">
        <v>189</v>
      </c>
      <c r="F870" s="147" t="s">
        <v>3063</v>
      </c>
      <c r="I870" s="144"/>
      <c r="L870" s="33"/>
      <c r="M870" s="145"/>
      <c r="T870" s="54"/>
      <c r="AT870" s="18" t="s">
        <v>189</v>
      </c>
      <c r="AU870" s="18" t="s">
        <v>87</v>
      </c>
    </row>
    <row r="871" spans="2:47" s="1" customFormat="1" ht="97.5">
      <c r="B871" s="33"/>
      <c r="D871" s="142" t="s">
        <v>191</v>
      </c>
      <c r="F871" s="148" t="s">
        <v>3064</v>
      </c>
      <c r="I871" s="144"/>
      <c r="L871" s="33"/>
      <c r="M871" s="145"/>
      <c r="T871" s="54"/>
      <c r="AT871" s="18" t="s">
        <v>191</v>
      </c>
      <c r="AU871" s="18" t="s">
        <v>87</v>
      </c>
    </row>
    <row r="872" spans="2:65" s="1" customFormat="1" ht="16.5" customHeight="1">
      <c r="B872" s="128"/>
      <c r="C872" s="129" t="s">
        <v>3065</v>
      </c>
      <c r="D872" s="129" t="s">
        <v>180</v>
      </c>
      <c r="E872" s="130" t="s">
        <v>3066</v>
      </c>
      <c r="F872" s="131" t="s">
        <v>3067</v>
      </c>
      <c r="G872" s="132" t="s">
        <v>236</v>
      </c>
      <c r="H872" s="133">
        <v>2</v>
      </c>
      <c r="I872" s="134"/>
      <c r="J872" s="135">
        <f>ROUND(I872*H872,2)</f>
        <v>0</v>
      </c>
      <c r="K872" s="131" t="s">
        <v>184</v>
      </c>
      <c r="L872" s="33"/>
      <c r="M872" s="136" t="s">
        <v>3</v>
      </c>
      <c r="N872" s="137" t="s">
        <v>48</v>
      </c>
      <c r="P872" s="138">
        <f>O872*H872</f>
        <v>0</v>
      </c>
      <c r="Q872" s="138">
        <v>0.0002</v>
      </c>
      <c r="R872" s="138">
        <f>Q872*H872</f>
        <v>0.0004</v>
      </c>
      <c r="S872" s="138">
        <v>0</v>
      </c>
      <c r="T872" s="139">
        <f>S872*H872</f>
        <v>0</v>
      </c>
      <c r="AR872" s="140" t="s">
        <v>237</v>
      </c>
      <c r="AT872" s="140" t="s">
        <v>180</v>
      </c>
      <c r="AU872" s="140" t="s">
        <v>87</v>
      </c>
      <c r="AY872" s="18" t="s">
        <v>177</v>
      </c>
      <c r="BE872" s="141">
        <f>IF(N872="základní",J872,0)</f>
        <v>0</v>
      </c>
      <c r="BF872" s="141">
        <f>IF(N872="snížená",J872,0)</f>
        <v>0</v>
      </c>
      <c r="BG872" s="141">
        <f>IF(N872="zákl. přenesená",J872,0)</f>
        <v>0</v>
      </c>
      <c r="BH872" s="141">
        <f>IF(N872="sníž. přenesená",J872,0)</f>
        <v>0</v>
      </c>
      <c r="BI872" s="141">
        <f>IF(N872="nulová",J872,0)</f>
        <v>0</v>
      </c>
      <c r="BJ872" s="18" t="s">
        <v>85</v>
      </c>
      <c r="BK872" s="141">
        <f>ROUND(I872*H872,2)</f>
        <v>0</v>
      </c>
      <c r="BL872" s="18" t="s">
        <v>237</v>
      </c>
      <c r="BM872" s="140" t="s">
        <v>3068</v>
      </c>
    </row>
    <row r="873" spans="2:47" s="1" customFormat="1" ht="11.25">
      <c r="B873" s="33"/>
      <c r="D873" s="142" t="s">
        <v>187</v>
      </c>
      <c r="F873" s="143" t="s">
        <v>3069</v>
      </c>
      <c r="I873" s="144"/>
      <c r="L873" s="33"/>
      <c r="M873" s="145"/>
      <c r="T873" s="54"/>
      <c r="AT873" s="18" t="s">
        <v>187</v>
      </c>
      <c r="AU873" s="18" t="s">
        <v>87</v>
      </c>
    </row>
    <row r="874" spans="2:47" s="1" customFormat="1" ht="11.25">
      <c r="B874" s="33"/>
      <c r="D874" s="146" t="s">
        <v>189</v>
      </c>
      <c r="F874" s="147" t="s">
        <v>3070</v>
      </c>
      <c r="I874" s="144"/>
      <c r="L874" s="33"/>
      <c r="M874" s="145"/>
      <c r="T874" s="54"/>
      <c r="AT874" s="18" t="s">
        <v>189</v>
      </c>
      <c r="AU874" s="18" t="s">
        <v>87</v>
      </c>
    </row>
    <row r="875" spans="2:47" s="1" customFormat="1" ht="97.5">
      <c r="B875" s="33"/>
      <c r="D875" s="142" t="s">
        <v>191</v>
      </c>
      <c r="F875" s="148" t="s">
        <v>3064</v>
      </c>
      <c r="I875" s="144"/>
      <c r="L875" s="33"/>
      <c r="M875" s="145"/>
      <c r="T875" s="54"/>
      <c r="AT875" s="18" t="s">
        <v>191</v>
      </c>
      <c r="AU875" s="18" t="s">
        <v>87</v>
      </c>
    </row>
    <row r="876" spans="2:65" s="1" customFormat="1" ht="16.5" customHeight="1">
      <c r="B876" s="128"/>
      <c r="C876" s="129" t="s">
        <v>3071</v>
      </c>
      <c r="D876" s="129" t="s">
        <v>180</v>
      </c>
      <c r="E876" s="130" t="s">
        <v>3072</v>
      </c>
      <c r="F876" s="131" t="s">
        <v>3073</v>
      </c>
      <c r="G876" s="132" t="s">
        <v>476</v>
      </c>
      <c r="H876" s="133">
        <v>10</v>
      </c>
      <c r="I876" s="134"/>
      <c r="J876" s="135">
        <f>ROUND(I876*H876,2)</f>
        <v>0</v>
      </c>
      <c r="K876" s="131" t="s">
        <v>184</v>
      </c>
      <c r="L876" s="33"/>
      <c r="M876" s="136" t="s">
        <v>3</v>
      </c>
      <c r="N876" s="137" t="s">
        <v>48</v>
      </c>
      <c r="P876" s="138">
        <f>O876*H876</f>
        <v>0</v>
      </c>
      <c r="Q876" s="138">
        <v>0.000322</v>
      </c>
      <c r="R876" s="138">
        <f>Q876*H876</f>
        <v>0.00322</v>
      </c>
      <c r="S876" s="138">
        <v>0</v>
      </c>
      <c r="T876" s="139">
        <f>S876*H876</f>
        <v>0</v>
      </c>
      <c r="AR876" s="140" t="s">
        <v>237</v>
      </c>
      <c r="AT876" s="140" t="s">
        <v>180</v>
      </c>
      <c r="AU876" s="140" t="s">
        <v>87</v>
      </c>
      <c r="AY876" s="18" t="s">
        <v>177</v>
      </c>
      <c r="BE876" s="141">
        <f>IF(N876="základní",J876,0)</f>
        <v>0</v>
      </c>
      <c r="BF876" s="141">
        <f>IF(N876="snížená",J876,0)</f>
        <v>0</v>
      </c>
      <c r="BG876" s="141">
        <f>IF(N876="zákl. přenesená",J876,0)</f>
        <v>0</v>
      </c>
      <c r="BH876" s="141">
        <f>IF(N876="sníž. přenesená",J876,0)</f>
        <v>0</v>
      </c>
      <c r="BI876" s="141">
        <f>IF(N876="nulová",J876,0)</f>
        <v>0</v>
      </c>
      <c r="BJ876" s="18" t="s">
        <v>85</v>
      </c>
      <c r="BK876" s="141">
        <f>ROUND(I876*H876,2)</f>
        <v>0</v>
      </c>
      <c r="BL876" s="18" t="s">
        <v>237</v>
      </c>
      <c r="BM876" s="140" t="s">
        <v>3074</v>
      </c>
    </row>
    <row r="877" spans="2:47" s="1" customFormat="1" ht="19.5">
      <c r="B877" s="33"/>
      <c r="D877" s="142" t="s">
        <v>187</v>
      </c>
      <c r="F877" s="143" t="s">
        <v>3075</v>
      </c>
      <c r="I877" s="144"/>
      <c r="L877" s="33"/>
      <c r="M877" s="145"/>
      <c r="T877" s="54"/>
      <c r="AT877" s="18" t="s">
        <v>187</v>
      </c>
      <c r="AU877" s="18" t="s">
        <v>87</v>
      </c>
    </row>
    <row r="878" spans="2:47" s="1" customFormat="1" ht="11.25">
      <c r="B878" s="33"/>
      <c r="D878" s="146" t="s">
        <v>189</v>
      </c>
      <c r="F878" s="147" t="s">
        <v>3076</v>
      </c>
      <c r="I878" s="144"/>
      <c r="L878" s="33"/>
      <c r="M878" s="145"/>
      <c r="T878" s="54"/>
      <c r="AT878" s="18" t="s">
        <v>189</v>
      </c>
      <c r="AU878" s="18" t="s">
        <v>87</v>
      </c>
    </row>
    <row r="879" spans="2:47" s="1" customFormat="1" ht="97.5">
      <c r="B879" s="33"/>
      <c r="D879" s="142" t="s">
        <v>191</v>
      </c>
      <c r="F879" s="148" t="s">
        <v>3064</v>
      </c>
      <c r="I879" s="144"/>
      <c r="L879" s="33"/>
      <c r="M879" s="145"/>
      <c r="T879" s="54"/>
      <c r="AT879" s="18" t="s">
        <v>191</v>
      </c>
      <c r="AU879" s="18" t="s">
        <v>87</v>
      </c>
    </row>
    <row r="880" spans="2:65" s="1" customFormat="1" ht="24.2" customHeight="1">
      <c r="B880" s="128"/>
      <c r="C880" s="129" t="s">
        <v>3077</v>
      </c>
      <c r="D880" s="129" t="s">
        <v>180</v>
      </c>
      <c r="E880" s="130" t="s">
        <v>3078</v>
      </c>
      <c r="F880" s="131" t="s">
        <v>3079</v>
      </c>
      <c r="G880" s="132" t="s">
        <v>183</v>
      </c>
      <c r="H880" s="133">
        <v>0.682</v>
      </c>
      <c r="I880" s="134"/>
      <c r="J880" s="135">
        <f>ROUND(I880*H880,2)</f>
        <v>0</v>
      </c>
      <c r="K880" s="131" t="s">
        <v>184</v>
      </c>
      <c r="L880" s="33"/>
      <c r="M880" s="136" t="s">
        <v>3</v>
      </c>
      <c r="N880" s="137" t="s">
        <v>48</v>
      </c>
      <c r="P880" s="138">
        <f>O880*H880</f>
        <v>0</v>
      </c>
      <c r="Q880" s="138">
        <v>0</v>
      </c>
      <c r="R880" s="138">
        <f>Q880*H880</f>
        <v>0</v>
      </c>
      <c r="S880" s="138">
        <v>0</v>
      </c>
      <c r="T880" s="139">
        <f>S880*H880</f>
        <v>0</v>
      </c>
      <c r="AR880" s="140" t="s">
        <v>237</v>
      </c>
      <c r="AT880" s="140" t="s">
        <v>180</v>
      </c>
      <c r="AU880" s="140" t="s">
        <v>87</v>
      </c>
      <c r="AY880" s="18" t="s">
        <v>177</v>
      </c>
      <c r="BE880" s="141">
        <f>IF(N880="základní",J880,0)</f>
        <v>0</v>
      </c>
      <c r="BF880" s="141">
        <f>IF(N880="snížená",J880,0)</f>
        <v>0</v>
      </c>
      <c r="BG880" s="141">
        <f>IF(N880="zákl. přenesená",J880,0)</f>
        <v>0</v>
      </c>
      <c r="BH880" s="141">
        <f>IF(N880="sníž. přenesená",J880,0)</f>
        <v>0</v>
      </c>
      <c r="BI880" s="141">
        <f>IF(N880="nulová",J880,0)</f>
        <v>0</v>
      </c>
      <c r="BJ880" s="18" t="s">
        <v>85</v>
      </c>
      <c r="BK880" s="141">
        <f>ROUND(I880*H880,2)</f>
        <v>0</v>
      </c>
      <c r="BL880" s="18" t="s">
        <v>237</v>
      </c>
      <c r="BM880" s="140" t="s">
        <v>3080</v>
      </c>
    </row>
    <row r="881" spans="2:47" s="1" customFormat="1" ht="29.25">
      <c r="B881" s="33"/>
      <c r="D881" s="142" t="s">
        <v>187</v>
      </c>
      <c r="F881" s="143" t="s">
        <v>3081</v>
      </c>
      <c r="I881" s="144"/>
      <c r="L881" s="33"/>
      <c r="M881" s="145"/>
      <c r="T881" s="54"/>
      <c r="AT881" s="18" t="s">
        <v>187</v>
      </c>
      <c r="AU881" s="18" t="s">
        <v>87</v>
      </c>
    </row>
    <row r="882" spans="2:47" s="1" customFormat="1" ht="11.25">
      <c r="B882" s="33"/>
      <c r="D882" s="146" t="s">
        <v>189</v>
      </c>
      <c r="F882" s="147" t="s">
        <v>3082</v>
      </c>
      <c r="I882" s="144"/>
      <c r="L882" s="33"/>
      <c r="M882" s="145"/>
      <c r="T882" s="54"/>
      <c r="AT882" s="18" t="s">
        <v>189</v>
      </c>
      <c r="AU882" s="18" t="s">
        <v>87</v>
      </c>
    </row>
    <row r="883" spans="2:47" s="1" customFormat="1" ht="126.75">
      <c r="B883" s="33"/>
      <c r="D883" s="142" t="s">
        <v>191</v>
      </c>
      <c r="F883" s="148" t="s">
        <v>762</v>
      </c>
      <c r="I883" s="144"/>
      <c r="L883" s="33"/>
      <c r="M883" s="145"/>
      <c r="T883" s="54"/>
      <c r="AT883" s="18" t="s">
        <v>191</v>
      </c>
      <c r="AU883" s="18" t="s">
        <v>87</v>
      </c>
    </row>
    <row r="884" spans="2:65" s="1" customFormat="1" ht="24.2" customHeight="1">
      <c r="B884" s="128"/>
      <c r="C884" s="129" t="s">
        <v>3083</v>
      </c>
      <c r="D884" s="129" t="s">
        <v>180</v>
      </c>
      <c r="E884" s="130" t="s">
        <v>3084</v>
      </c>
      <c r="F884" s="131" t="s">
        <v>3085</v>
      </c>
      <c r="G884" s="132" t="s">
        <v>183</v>
      </c>
      <c r="H884" s="133">
        <v>0.682</v>
      </c>
      <c r="I884" s="134"/>
      <c r="J884" s="135">
        <f>ROUND(I884*H884,2)</f>
        <v>0</v>
      </c>
      <c r="K884" s="131" t="s">
        <v>184</v>
      </c>
      <c r="L884" s="33"/>
      <c r="M884" s="136" t="s">
        <v>3</v>
      </c>
      <c r="N884" s="137" t="s">
        <v>48</v>
      </c>
      <c r="P884" s="138">
        <f>O884*H884</f>
        <v>0</v>
      </c>
      <c r="Q884" s="138">
        <v>0</v>
      </c>
      <c r="R884" s="138">
        <f>Q884*H884</f>
        <v>0</v>
      </c>
      <c r="S884" s="138">
        <v>0</v>
      </c>
      <c r="T884" s="139">
        <f>S884*H884</f>
        <v>0</v>
      </c>
      <c r="AR884" s="140" t="s">
        <v>237</v>
      </c>
      <c r="AT884" s="140" t="s">
        <v>180</v>
      </c>
      <c r="AU884" s="140" t="s">
        <v>87</v>
      </c>
      <c r="AY884" s="18" t="s">
        <v>177</v>
      </c>
      <c r="BE884" s="141">
        <f>IF(N884="základní",J884,0)</f>
        <v>0</v>
      </c>
      <c r="BF884" s="141">
        <f>IF(N884="snížená",J884,0)</f>
        <v>0</v>
      </c>
      <c r="BG884" s="141">
        <f>IF(N884="zákl. přenesená",J884,0)</f>
        <v>0</v>
      </c>
      <c r="BH884" s="141">
        <f>IF(N884="sníž. přenesená",J884,0)</f>
        <v>0</v>
      </c>
      <c r="BI884" s="141">
        <f>IF(N884="nulová",J884,0)</f>
        <v>0</v>
      </c>
      <c r="BJ884" s="18" t="s">
        <v>85</v>
      </c>
      <c r="BK884" s="141">
        <f>ROUND(I884*H884,2)</f>
        <v>0</v>
      </c>
      <c r="BL884" s="18" t="s">
        <v>237</v>
      </c>
      <c r="BM884" s="140" t="s">
        <v>3086</v>
      </c>
    </row>
    <row r="885" spans="2:47" s="1" customFormat="1" ht="29.25">
      <c r="B885" s="33"/>
      <c r="D885" s="142" t="s">
        <v>187</v>
      </c>
      <c r="F885" s="143" t="s">
        <v>3087</v>
      </c>
      <c r="I885" s="144"/>
      <c r="L885" s="33"/>
      <c r="M885" s="145"/>
      <c r="T885" s="54"/>
      <c r="AT885" s="18" t="s">
        <v>187</v>
      </c>
      <c r="AU885" s="18" t="s">
        <v>87</v>
      </c>
    </row>
    <row r="886" spans="2:47" s="1" customFormat="1" ht="11.25">
      <c r="B886" s="33"/>
      <c r="D886" s="146" t="s">
        <v>189</v>
      </c>
      <c r="F886" s="147" t="s">
        <v>3088</v>
      </c>
      <c r="I886" s="144"/>
      <c r="L886" s="33"/>
      <c r="M886" s="145"/>
      <c r="T886" s="54"/>
      <c r="AT886" s="18" t="s">
        <v>189</v>
      </c>
      <c r="AU886" s="18" t="s">
        <v>87</v>
      </c>
    </row>
    <row r="887" spans="2:47" s="1" customFormat="1" ht="126.75">
      <c r="B887" s="33"/>
      <c r="D887" s="142" t="s">
        <v>191</v>
      </c>
      <c r="F887" s="148" t="s">
        <v>762</v>
      </c>
      <c r="I887" s="144"/>
      <c r="L887" s="33"/>
      <c r="M887" s="145"/>
      <c r="T887" s="54"/>
      <c r="AT887" s="18" t="s">
        <v>191</v>
      </c>
      <c r="AU887" s="18" t="s">
        <v>87</v>
      </c>
    </row>
    <row r="888" spans="2:63" s="11" customFormat="1" ht="25.9" customHeight="1">
      <c r="B888" s="116"/>
      <c r="D888" s="117" t="s">
        <v>76</v>
      </c>
      <c r="E888" s="118" t="s">
        <v>313</v>
      </c>
      <c r="F888" s="118" t="s">
        <v>314</v>
      </c>
      <c r="I888" s="119"/>
      <c r="J888" s="120">
        <f>BK888</f>
        <v>0</v>
      </c>
      <c r="L888" s="116"/>
      <c r="M888" s="121"/>
      <c r="P888" s="122">
        <f>SUM(P889:P891)</f>
        <v>0</v>
      </c>
      <c r="R888" s="122">
        <f>SUM(R889:R891)</f>
        <v>0</v>
      </c>
      <c r="T888" s="123">
        <f>SUM(T889:T891)</f>
        <v>0</v>
      </c>
      <c r="AR888" s="117" t="s">
        <v>185</v>
      </c>
      <c r="AT888" s="124" t="s">
        <v>76</v>
      </c>
      <c r="AU888" s="124" t="s">
        <v>77</v>
      </c>
      <c r="AY888" s="117" t="s">
        <v>177</v>
      </c>
      <c r="BK888" s="125">
        <f>SUM(BK889:BK891)</f>
        <v>0</v>
      </c>
    </row>
    <row r="889" spans="2:65" s="1" customFormat="1" ht="16.5" customHeight="1">
      <c r="B889" s="128"/>
      <c r="C889" s="129" t="s">
        <v>3089</v>
      </c>
      <c r="D889" s="129" t="s">
        <v>180</v>
      </c>
      <c r="E889" s="130" t="s">
        <v>528</v>
      </c>
      <c r="F889" s="131" t="s">
        <v>529</v>
      </c>
      <c r="G889" s="132" t="s">
        <v>305</v>
      </c>
      <c r="H889" s="133">
        <v>100</v>
      </c>
      <c r="I889" s="134"/>
      <c r="J889" s="135">
        <f>ROUND(I889*H889,2)</f>
        <v>0</v>
      </c>
      <c r="K889" s="131" t="s">
        <v>184</v>
      </c>
      <c r="L889" s="33"/>
      <c r="M889" s="136" t="s">
        <v>3</v>
      </c>
      <c r="N889" s="137" t="s">
        <v>48</v>
      </c>
      <c r="P889" s="138">
        <f>O889*H889</f>
        <v>0</v>
      </c>
      <c r="Q889" s="138">
        <v>0</v>
      </c>
      <c r="R889" s="138">
        <f>Q889*H889</f>
        <v>0</v>
      </c>
      <c r="S889" s="138">
        <v>0</v>
      </c>
      <c r="T889" s="139">
        <f>S889*H889</f>
        <v>0</v>
      </c>
      <c r="AR889" s="140" t="s">
        <v>318</v>
      </c>
      <c r="AT889" s="140" t="s">
        <v>180</v>
      </c>
      <c r="AU889" s="140" t="s">
        <v>85</v>
      </c>
      <c r="AY889" s="18" t="s">
        <v>177</v>
      </c>
      <c r="BE889" s="141">
        <f>IF(N889="základní",J889,0)</f>
        <v>0</v>
      </c>
      <c r="BF889" s="141">
        <f>IF(N889="snížená",J889,0)</f>
        <v>0</v>
      </c>
      <c r="BG889" s="141">
        <f>IF(N889="zákl. přenesená",J889,0)</f>
        <v>0</v>
      </c>
      <c r="BH889" s="141">
        <f>IF(N889="sníž. přenesená",J889,0)</f>
        <v>0</v>
      </c>
      <c r="BI889" s="141">
        <f>IF(N889="nulová",J889,0)</f>
        <v>0</v>
      </c>
      <c r="BJ889" s="18" t="s">
        <v>85</v>
      </c>
      <c r="BK889" s="141">
        <f>ROUND(I889*H889,2)</f>
        <v>0</v>
      </c>
      <c r="BL889" s="18" t="s">
        <v>318</v>
      </c>
      <c r="BM889" s="140" t="s">
        <v>3090</v>
      </c>
    </row>
    <row r="890" spans="2:47" s="1" customFormat="1" ht="19.5">
      <c r="B890" s="33"/>
      <c r="D890" s="142" t="s">
        <v>187</v>
      </c>
      <c r="F890" s="143" t="s">
        <v>531</v>
      </c>
      <c r="I890" s="144"/>
      <c r="L890" s="33"/>
      <c r="M890" s="145"/>
      <c r="T890" s="54"/>
      <c r="AT890" s="18" t="s">
        <v>187</v>
      </c>
      <c r="AU890" s="18" t="s">
        <v>85</v>
      </c>
    </row>
    <row r="891" spans="2:47" s="1" customFormat="1" ht="11.25">
      <c r="B891" s="33"/>
      <c r="D891" s="146" t="s">
        <v>189</v>
      </c>
      <c r="F891" s="147" t="s">
        <v>532</v>
      </c>
      <c r="I891" s="144"/>
      <c r="L891" s="33"/>
      <c r="M891" s="189"/>
      <c r="N891" s="190"/>
      <c r="O891" s="190"/>
      <c r="P891" s="190"/>
      <c r="Q891" s="190"/>
      <c r="R891" s="190"/>
      <c r="S891" s="190"/>
      <c r="T891" s="191"/>
      <c r="AT891" s="18" t="s">
        <v>189</v>
      </c>
      <c r="AU891" s="18" t="s">
        <v>85</v>
      </c>
    </row>
    <row r="892" spans="2:12" s="1" customFormat="1" ht="6.95" customHeight="1">
      <c r="B892" s="42"/>
      <c r="C892" s="43"/>
      <c r="D892" s="43"/>
      <c r="E892" s="43"/>
      <c r="F892" s="43"/>
      <c r="G892" s="43"/>
      <c r="H892" s="43"/>
      <c r="I892" s="43"/>
      <c r="J892" s="43"/>
      <c r="K892" s="43"/>
      <c r="L892" s="33"/>
    </row>
  </sheetData>
  <autoFilter ref="C98:K891"/>
  <mergeCells count="9">
    <mergeCell ref="E50:H50"/>
    <mergeCell ref="E89:H89"/>
    <mergeCell ref="E91:H91"/>
    <mergeCell ref="L2:V2"/>
    <mergeCell ref="E7:H7"/>
    <mergeCell ref="E9:H9"/>
    <mergeCell ref="E18:H18"/>
    <mergeCell ref="E27:H27"/>
    <mergeCell ref="E48:H48"/>
  </mergeCells>
  <hyperlinks>
    <hyperlink ref="F104" r:id="rId1" display="https://podminky.urs.cz/item/CS_URS_2022_02/113107142"/>
    <hyperlink ref="F109" r:id="rId2" display="https://podminky.urs.cz/item/CS_URS_2022_02/131213701"/>
    <hyperlink ref="F114" r:id="rId3" display="https://podminky.urs.cz/item/CS_URS_2022_02/132212131"/>
    <hyperlink ref="F121" r:id="rId4" display="https://podminky.urs.cz/item/CS_URS_2022_02/162751117"/>
    <hyperlink ref="F125" r:id="rId5" display="https://podminky.urs.cz/item/CS_URS_2022_02/162751119"/>
    <hyperlink ref="F130" r:id="rId6" display="https://podminky.urs.cz/item/CS_URS_2022_02/171201231"/>
    <hyperlink ref="F135" r:id="rId7" display="https://podminky.urs.cz/item/CS_URS_2022_02/171251201"/>
    <hyperlink ref="F140" r:id="rId8" display="https://podminky.urs.cz/item/CS_URS_2022_02/274313711"/>
    <hyperlink ref="F146" r:id="rId9" display="https://podminky.urs.cz/item/CS_URS_2022_02/275313711"/>
    <hyperlink ref="F151" r:id="rId10" display="https://podminky.urs.cz/item/CS_URS_2022_02/311270731"/>
    <hyperlink ref="F158" r:id="rId11" display="https://podminky.urs.cz/item/CS_URS_2022_02/430321616"/>
    <hyperlink ref="F165" r:id="rId12" display="https://podminky.urs.cz/item/CS_URS_2022_02/430362021"/>
    <hyperlink ref="F170" r:id="rId13" display="https://podminky.urs.cz/item/CS_URS_2022_02/431351121"/>
    <hyperlink ref="F173" r:id="rId14" display="https://podminky.urs.cz/item/CS_URS_2022_02/431351122"/>
    <hyperlink ref="F176" r:id="rId15" display="https://podminky.urs.cz/item/CS_URS_2022_02/434351141"/>
    <hyperlink ref="F181" r:id="rId16" display="https://podminky.urs.cz/item/CS_URS_2022_02/434351142"/>
    <hyperlink ref="F186" r:id="rId17" display="https://podminky.urs.cz/item/CS_URS_2022_02/621211041"/>
    <hyperlink ref="F197" r:id="rId18" display="https://podminky.urs.cz/item/CS_URS_2022_02/622151011"/>
    <hyperlink ref="F200" r:id="rId19" display="https://podminky.urs.cz/item/CS_URS_2022_02/622151021"/>
    <hyperlink ref="F212" r:id="rId20" display="https://podminky.urs.cz/item/CS_URS_2022_02/622211041"/>
    <hyperlink ref="F221" r:id="rId21" display="https://podminky.urs.cz/item/CS_URS_2022_02/622211041"/>
    <hyperlink ref="F233" r:id="rId22" display="https://podminky.urs.cz/item/CS_URS_2022_02/622221131"/>
    <hyperlink ref="F242" r:id="rId23" display="https://podminky.urs.cz/item/CS_URS_2022_02/622221141"/>
    <hyperlink ref="F258" r:id="rId24" display="https://podminky.urs.cz/item/CS_URS_2022_02/622222051"/>
    <hyperlink ref="F276" r:id="rId25" display="https://podminky.urs.cz/item/CS_URS_2022_02/622251101"/>
    <hyperlink ref="F280" r:id="rId26" display="https://podminky.urs.cz/item/CS_URS_2022_02/622251105"/>
    <hyperlink ref="F289" r:id="rId27" display="https://podminky.urs.cz/item/CS_URS_2022_02/622252001"/>
    <hyperlink ref="F301" r:id="rId28" display="https://podminky.urs.cz/item/CS_URS_2022_02/622252002"/>
    <hyperlink ref="F342" r:id="rId29" display="https://podminky.urs.cz/item/CS_URS_2022_02/622321121"/>
    <hyperlink ref="F351" r:id="rId30" display="https://podminky.urs.cz/item/CS_URS_2022_02/622321191"/>
    <hyperlink ref="F356" r:id="rId31" display="https://podminky.urs.cz/item/CS_URS_2022_02/622511112"/>
    <hyperlink ref="F368" r:id="rId32" display="https://podminky.urs.cz/item/CS_URS_2022_02/622531022"/>
    <hyperlink ref="F382" r:id="rId33" display="https://podminky.urs.cz/item/CS_URS_2022_02/632451457"/>
    <hyperlink ref="F388" r:id="rId34" display="https://podminky.urs.cz/item/CS_URS_2022_02/632451491"/>
    <hyperlink ref="F392" r:id="rId35" display="https://podminky.urs.cz/item/CS_URS_2022_02/635111115"/>
    <hyperlink ref="F403" r:id="rId36" display="https://podminky.urs.cz/item/CS_URS_2022_02/941221111"/>
    <hyperlink ref="F411" r:id="rId37" display="https://podminky.urs.cz/item/CS_URS_2022_02/941221211"/>
    <hyperlink ref="F416" r:id="rId38" display="https://podminky.urs.cz/item/CS_URS_2022_02/941221811"/>
    <hyperlink ref="F420" r:id="rId39" display="https://podminky.urs.cz/item/CS_URS_2022_02/944511111"/>
    <hyperlink ref="F424" r:id="rId40" display="https://podminky.urs.cz/item/CS_URS_2022_02/944511211"/>
    <hyperlink ref="F428" r:id="rId41" display="https://podminky.urs.cz/item/CS_URS_2022_02/944511811"/>
    <hyperlink ref="F431" r:id="rId42" display="https://podminky.urs.cz/item/CS_URS_2022_02/949101111"/>
    <hyperlink ref="F435" r:id="rId43" display="https://podminky.urs.cz/item/CS_URS_2022_02/952901111"/>
    <hyperlink ref="F440" r:id="rId44" display="https://podminky.urs.cz/item/CS_URS_2022_02/953961112"/>
    <hyperlink ref="F446" r:id="rId45" display="https://podminky.urs.cz/item/CS_URS_2022_02/953965117"/>
    <hyperlink ref="F450" r:id="rId46" display="https://podminky.urs.cz/item/CS_URS_2022_02/961055111"/>
    <hyperlink ref="F458" r:id="rId47" display="https://podminky.urs.cz/item/CS_URS_2022_02/965042141"/>
    <hyperlink ref="F464" r:id="rId48" display="https://podminky.urs.cz/item/CS_URS_2022_02/965081223"/>
    <hyperlink ref="F472" r:id="rId49" display="https://podminky.urs.cz/item/CS_URS_2022_02/965081343"/>
    <hyperlink ref="F478" r:id="rId50" display="https://podminky.urs.cz/item/CS_URS_2022_02/966080105"/>
    <hyperlink ref="F489" r:id="rId51" display="https://podminky.urs.cz/item/CS_URS_2022_02/976071111"/>
    <hyperlink ref="F494" r:id="rId52" display="https://podminky.urs.cz/item/CS_URS_2022_02/985112132"/>
    <hyperlink ref="F498" r:id="rId53" display="https://podminky.urs.cz/item/CS_URS_2022_02/985112133"/>
    <hyperlink ref="F502" r:id="rId54" display="https://podminky.urs.cz/item/CS_URS_2022_02/985121122"/>
    <hyperlink ref="F506" r:id="rId55" display="https://podminky.urs.cz/item/CS_URS_2022_02/985131311"/>
    <hyperlink ref="F510" r:id="rId56" display="https://podminky.urs.cz/item/CS_URS_2022_02/985311312"/>
    <hyperlink ref="F516" r:id="rId57" display="https://podminky.urs.cz/item/CS_URS_2022_02/985311314"/>
    <hyperlink ref="F522" r:id="rId58" display="https://podminky.urs.cz/item/CS_URS_2022_02/985321112"/>
    <hyperlink ref="F526" r:id="rId59" display="https://podminky.urs.cz/item/CS_URS_2022_02/985323111"/>
    <hyperlink ref="F530" r:id="rId60" display="https://podminky.urs.cz/item/CS_URS_2022_02/985331213"/>
    <hyperlink ref="F544" r:id="rId61" display="https://podminky.urs.cz/item/CS_URS_2022_02/997013213"/>
    <hyperlink ref="F548" r:id="rId62" display="https://podminky.urs.cz/item/CS_URS_2022_02/997013219"/>
    <hyperlink ref="F553" r:id="rId63" display="https://podminky.urs.cz/item/CS_URS_2022_02/997013501"/>
    <hyperlink ref="F557" r:id="rId64" display="https://podminky.urs.cz/item/CS_URS_2022_02/997013509"/>
    <hyperlink ref="F562" r:id="rId65" display="https://podminky.urs.cz/item/CS_URS_2022_02/997013871"/>
    <hyperlink ref="F567" r:id="rId66" display="https://podminky.urs.cz/item/CS_URS_2022_02/998018002"/>
    <hyperlink ref="F573" r:id="rId67" display="https://podminky.urs.cz/item/CS_URS_2022_02/711191201"/>
    <hyperlink ref="F582" r:id="rId68" display="https://podminky.urs.cz/item/CS_URS_2022_02/998711102"/>
    <hyperlink ref="F586" r:id="rId69" display="https://podminky.urs.cz/item/CS_URS_2022_02/998711181"/>
    <hyperlink ref="F591" r:id="rId70" display="https://podminky.urs.cz/item/CS_URS_2022_02/712331111"/>
    <hyperlink ref="F601" r:id="rId71" display="https://podminky.urs.cz/item/CS_URS_2022_02/712341559"/>
    <hyperlink ref="F619" r:id="rId72" display="https://podminky.urs.cz/item/CS_URS_2022_02/712341715"/>
    <hyperlink ref="F623" r:id="rId73" display="https://podminky.urs.cz/item/CS_URS_2022_02/712341716"/>
    <hyperlink ref="F627" r:id="rId74" display="https://podminky.urs.cz/item/CS_URS_2022_02/712363604"/>
    <hyperlink ref="F635" r:id="rId75" display="https://podminky.urs.cz/item/CS_URS_2022_02/712363605"/>
    <hyperlink ref="F643" r:id="rId76" display="https://podminky.urs.cz/item/CS_URS_2022_02/712363606"/>
    <hyperlink ref="F652" r:id="rId77" display="https://podminky.urs.cz/item/CS_URS_2022_02/998712102"/>
    <hyperlink ref="F656" r:id="rId78" display="https://podminky.urs.cz/item/CS_URS_2022_02/998712181"/>
    <hyperlink ref="F661" r:id="rId79" display="https://podminky.urs.cz/item/CS_URS_2022_02/713141131"/>
    <hyperlink ref="F670" r:id="rId80" display="https://podminky.urs.cz/item/CS_URS_2022_02/713141131"/>
    <hyperlink ref="F680" r:id="rId81" display="https://podminky.urs.cz/item/CS_URS_2022_02/713141263"/>
    <hyperlink ref="F684" r:id="rId82" display="https://podminky.urs.cz/item/CS_URS_2022_02/713141391"/>
    <hyperlink ref="F696" r:id="rId83" display="https://podminky.urs.cz/item/CS_URS_2022_02/998713102"/>
    <hyperlink ref="F700" r:id="rId84" display="https://podminky.urs.cz/item/CS_URS_2022_02/998713181"/>
    <hyperlink ref="F705" r:id="rId85" display="https://podminky.urs.cz/item/CS_URS_2022_02/721233213"/>
    <hyperlink ref="F708" r:id="rId86" display="https://podminky.urs.cz/item/CS_URS_2022_02/998721102"/>
    <hyperlink ref="F712" r:id="rId87" display="https://podminky.urs.cz/item/CS_URS_2022_02/998721181"/>
    <hyperlink ref="F717" r:id="rId88" display="https://podminky.urs.cz/item/CS_URS_2022_02/762361312"/>
    <hyperlink ref="F722" r:id="rId89" display="https://podminky.urs.cz/item/CS_URS_2022_02/998762102"/>
    <hyperlink ref="F726" r:id="rId90" display="https://podminky.urs.cz/item/CS_URS_2022_02/998762181"/>
    <hyperlink ref="F736" r:id="rId91" display="https://podminky.urs.cz/item/CS_URS_2022_02/764212637"/>
    <hyperlink ref="F742" r:id="rId92" display="https://podminky.urs.cz/item/CS_URS_2022_02/764226444"/>
    <hyperlink ref="F745" r:id="rId93" display="https://podminky.urs.cz/item/CS_URS_2022_02/764226465"/>
    <hyperlink ref="F751" r:id="rId94" display="https://podminky.urs.cz/item/CS_URS_2022_02/764311606"/>
    <hyperlink ref="F756" r:id="rId95" display="https://podminky.urs.cz/item/CS_URS_2022_02/998764102"/>
    <hyperlink ref="F760" r:id="rId96" display="https://podminky.urs.cz/item/CS_URS_2022_02/998764181"/>
    <hyperlink ref="F765" r:id="rId97" display="https://podminky.urs.cz/item/CS_URS_2022_02/767210151"/>
    <hyperlink ref="F770" r:id="rId98" display="https://podminky.urs.cz/item/CS_URS_2022_02/767211311"/>
    <hyperlink ref="F781" r:id="rId99" display="https://podminky.urs.cz/item/CS_URS_2022_02/767220420"/>
    <hyperlink ref="F801" r:id="rId100" display="https://podminky.urs.cz/item/CS_URS_2022_02/767316311"/>
    <hyperlink ref="F812" r:id="rId101" display="https://podminky.urs.cz/item/CS_URS_2022_02/998767102"/>
    <hyperlink ref="F816" r:id="rId102" display="https://podminky.urs.cz/item/CS_URS_2022_02/998767181"/>
    <hyperlink ref="F821" r:id="rId103" display="https://podminky.urs.cz/item/CS_URS_2022_02/771111011"/>
    <hyperlink ref="F825" r:id="rId104" display="https://podminky.urs.cz/item/CS_URS_2022_02/771121011"/>
    <hyperlink ref="F832" r:id="rId105" display="https://podminky.urs.cz/item/CS_URS_2022_02/771161023"/>
    <hyperlink ref="F840" r:id="rId106" display="https://podminky.urs.cz/item/CS_URS_2022_02/771274123"/>
    <hyperlink ref="F845" r:id="rId107" display="https://podminky.urs.cz/item/CS_URS_2022_02/771274241"/>
    <hyperlink ref="F849" r:id="rId108" display="https://podminky.urs.cz/item/CS_URS_2022_02/771474113"/>
    <hyperlink ref="F856" r:id="rId109" display="https://podminky.urs.cz/item/CS_URS_2022_02/771574266"/>
    <hyperlink ref="F866" r:id="rId110" display="https://podminky.urs.cz/item/CS_URS_2022_02/771577114"/>
    <hyperlink ref="F870" r:id="rId111" display="https://podminky.urs.cz/item/CS_URS_2022_02/771591241"/>
    <hyperlink ref="F874" r:id="rId112" display="https://podminky.urs.cz/item/CS_URS_2022_02/771591242"/>
    <hyperlink ref="F878" r:id="rId113" display="https://podminky.urs.cz/item/CS_URS_2022_02/771591264"/>
    <hyperlink ref="F882" r:id="rId114" display="https://podminky.urs.cz/item/CS_URS_2022_02/998771102"/>
    <hyperlink ref="F886" r:id="rId115" display="https://podminky.urs.cz/item/CS_URS_2022_02/998771181"/>
    <hyperlink ref="F891" r:id="rId116"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7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126</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30" customHeight="1">
      <c r="B9" s="33"/>
      <c r="E9" s="281" t="s">
        <v>3091</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ROUND(J99,2)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ROUND((SUM(BE99:BE707)),2)</f>
        <v>0</v>
      </c>
      <c r="I33" s="90">
        <v>0.21</v>
      </c>
      <c r="J33" s="89">
        <f>ROUND(((SUM(BE99:BE707))*I33),2)</f>
        <v>0</v>
      </c>
      <c r="L33" s="33"/>
    </row>
    <row r="34" spans="2:12" s="1" customFormat="1" ht="14.45" customHeight="1">
      <c r="B34" s="33"/>
      <c r="E34" s="28" t="s">
        <v>49</v>
      </c>
      <c r="F34" s="89">
        <f>ROUND((SUM(BF99:BF707)),2)</f>
        <v>0</v>
      </c>
      <c r="I34" s="90">
        <v>0.15</v>
      </c>
      <c r="J34" s="89">
        <f>ROUND(((SUM(BF99:BF707))*I34),2)</f>
        <v>0</v>
      </c>
      <c r="L34" s="33"/>
    </row>
    <row r="35" spans="2:12" s="1" customFormat="1" ht="14.45" customHeight="1" hidden="1">
      <c r="B35" s="33"/>
      <c r="E35" s="28" t="s">
        <v>50</v>
      </c>
      <c r="F35" s="89">
        <f>ROUND((SUM(BG99:BG707)),2)</f>
        <v>0</v>
      </c>
      <c r="I35" s="90">
        <v>0.21</v>
      </c>
      <c r="J35" s="89">
        <f>0</f>
        <v>0</v>
      </c>
      <c r="L35" s="33"/>
    </row>
    <row r="36" spans="2:12" s="1" customFormat="1" ht="14.45" customHeight="1" hidden="1">
      <c r="B36" s="33"/>
      <c r="E36" s="28" t="s">
        <v>51</v>
      </c>
      <c r="F36" s="89">
        <f>ROUND((SUM(BH99:BH707)),2)</f>
        <v>0</v>
      </c>
      <c r="I36" s="90">
        <v>0.15</v>
      </c>
      <c r="J36" s="89">
        <f>0</f>
        <v>0</v>
      </c>
      <c r="L36" s="33"/>
    </row>
    <row r="37" spans="2:12" s="1" customFormat="1" ht="14.45" customHeight="1" hidden="1">
      <c r="B37" s="33"/>
      <c r="E37" s="28" t="s">
        <v>52</v>
      </c>
      <c r="F37" s="89">
        <f>ROUND((SUM(BI99:BI707)),2)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30" customHeight="1">
      <c r="B50" s="33"/>
      <c r="E50" s="281" t="str">
        <f>E9</f>
        <v>E14 - Dokončovací práce - výtah,zábradlí.obklady,parapety,malby,žaluzie,podlahy,dveře,dok.TZB</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J99</f>
        <v>0</v>
      </c>
      <c r="L59" s="33"/>
      <c r="AU59" s="18" t="s">
        <v>152</v>
      </c>
    </row>
    <row r="60" spans="2:12" s="8" customFormat="1" ht="24.95" customHeight="1">
      <c r="B60" s="100"/>
      <c r="D60" s="101" t="s">
        <v>153</v>
      </c>
      <c r="E60" s="102"/>
      <c r="F60" s="102"/>
      <c r="G60" s="102"/>
      <c r="H60" s="102"/>
      <c r="I60" s="102"/>
      <c r="J60" s="103">
        <f>J100</f>
        <v>0</v>
      </c>
      <c r="L60" s="100"/>
    </row>
    <row r="61" spans="2:12" s="9" customFormat="1" ht="19.9" customHeight="1">
      <c r="B61" s="104"/>
      <c r="D61" s="105" t="s">
        <v>546</v>
      </c>
      <c r="E61" s="106"/>
      <c r="F61" s="106"/>
      <c r="G61" s="106"/>
      <c r="H61" s="106"/>
      <c r="I61" s="106"/>
      <c r="J61" s="107">
        <f>J101</f>
        <v>0</v>
      </c>
      <c r="L61" s="104"/>
    </row>
    <row r="62" spans="2:12" s="9" customFormat="1" ht="19.9" customHeight="1">
      <c r="B62" s="104"/>
      <c r="D62" s="105" t="s">
        <v>325</v>
      </c>
      <c r="E62" s="106"/>
      <c r="F62" s="106"/>
      <c r="G62" s="106"/>
      <c r="H62" s="106"/>
      <c r="I62" s="106"/>
      <c r="J62" s="107">
        <f>J141</f>
        <v>0</v>
      </c>
      <c r="L62" s="104"/>
    </row>
    <row r="63" spans="2:12" s="9" customFormat="1" ht="19.9" customHeight="1">
      <c r="B63" s="104"/>
      <c r="D63" s="105" t="s">
        <v>326</v>
      </c>
      <c r="E63" s="106"/>
      <c r="F63" s="106"/>
      <c r="G63" s="106"/>
      <c r="H63" s="106"/>
      <c r="I63" s="106"/>
      <c r="J63" s="107">
        <f>J167</f>
        <v>0</v>
      </c>
      <c r="L63" s="104"/>
    </row>
    <row r="64" spans="2:12" s="8" customFormat="1" ht="24.95" customHeight="1">
      <c r="B64" s="100"/>
      <c r="D64" s="101" t="s">
        <v>155</v>
      </c>
      <c r="E64" s="102"/>
      <c r="F64" s="102"/>
      <c r="G64" s="102"/>
      <c r="H64" s="102"/>
      <c r="I64" s="102"/>
      <c r="J64" s="103">
        <f>J172</f>
        <v>0</v>
      </c>
      <c r="L64" s="100"/>
    </row>
    <row r="65" spans="2:12" s="9" customFormat="1" ht="19.9" customHeight="1">
      <c r="B65" s="104"/>
      <c r="D65" s="105" t="s">
        <v>3092</v>
      </c>
      <c r="E65" s="106"/>
      <c r="F65" s="106"/>
      <c r="G65" s="106"/>
      <c r="H65" s="106"/>
      <c r="I65" s="106"/>
      <c r="J65" s="107">
        <f>J173</f>
        <v>0</v>
      </c>
      <c r="L65" s="104"/>
    </row>
    <row r="66" spans="2:12" s="9" customFormat="1" ht="19.9" customHeight="1">
      <c r="B66" s="104"/>
      <c r="D66" s="105" t="s">
        <v>3093</v>
      </c>
      <c r="E66" s="106"/>
      <c r="F66" s="106"/>
      <c r="G66" s="106"/>
      <c r="H66" s="106"/>
      <c r="I66" s="106"/>
      <c r="J66" s="107">
        <f>J192</f>
        <v>0</v>
      </c>
      <c r="L66" s="104"/>
    </row>
    <row r="67" spans="2:12" s="9" customFormat="1" ht="19.9" customHeight="1">
      <c r="B67" s="104"/>
      <c r="D67" s="105" t="s">
        <v>1475</v>
      </c>
      <c r="E67" s="106"/>
      <c r="F67" s="106"/>
      <c r="G67" s="106"/>
      <c r="H67" s="106"/>
      <c r="I67" s="106"/>
      <c r="J67" s="107">
        <f>J233</f>
        <v>0</v>
      </c>
      <c r="L67" s="104"/>
    </row>
    <row r="68" spans="2:12" s="9" customFormat="1" ht="19.9" customHeight="1">
      <c r="B68" s="104"/>
      <c r="D68" s="105" t="s">
        <v>924</v>
      </c>
      <c r="E68" s="106"/>
      <c r="F68" s="106"/>
      <c r="G68" s="106"/>
      <c r="H68" s="106"/>
      <c r="I68" s="106"/>
      <c r="J68" s="107">
        <f>J322</f>
        <v>0</v>
      </c>
      <c r="L68" s="104"/>
    </row>
    <row r="69" spans="2:12" s="9" customFormat="1" ht="19.9" customHeight="1">
      <c r="B69" s="104"/>
      <c r="D69" s="105" t="s">
        <v>2303</v>
      </c>
      <c r="E69" s="106"/>
      <c r="F69" s="106"/>
      <c r="G69" s="106"/>
      <c r="H69" s="106"/>
      <c r="I69" s="106"/>
      <c r="J69" s="107">
        <f>J370</f>
        <v>0</v>
      </c>
      <c r="L69" s="104"/>
    </row>
    <row r="70" spans="2:12" s="9" customFormat="1" ht="19.9" customHeight="1">
      <c r="B70" s="104"/>
      <c r="D70" s="105" t="s">
        <v>3094</v>
      </c>
      <c r="E70" s="106"/>
      <c r="F70" s="106"/>
      <c r="G70" s="106"/>
      <c r="H70" s="106"/>
      <c r="I70" s="106"/>
      <c r="J70" s="107">
        <f>J448</f>
        <v>0</v>
      </c>
      <c r="L70" s="104"/>
    </row>
    <row r="71" spans="2:12" s="9" customFormat="1" ht="19.9" customHeight="1">
      <c r="B71" s="104"/>
      <c r="D71" s="105" t="s">
        <v>3095</v>
      </c>
      <c r="E71" s="106"/>
      <c r="F71" s="106"/>
      <c r="G71" s="106"/>
      <c r="H71" s="106"/>
      <c r="I71" s="106"/>
      <c r="J71" s="107">
        <f>J506</f>
        <v>0</v>
      </c>
      <c r="L71" s="104"/>
    </row>
    <row r="72" spans="2:12" s="9" customFormat="1" ht="19.9" customHeight="1">
      <c r="B72" s="104"/>
      <c r="D72" s="105" t="s">
        <v>1569</v>
      </c>
      <c r="E72" s="106"/>
      <c r="F72" s="106"/>
      <c r="G72" s="106"/>
      <c r="H72" s="106"/>
      <c r="I72" s="106"/>
      <c r="J72" s="107">
        <f>J591</f>
        <v>0</v>
      </c>
      <c r="L72" s="104"/>
    </row>
    <row r="73" spans="2:12" s="9" customFormat="1" ht="19.9" customHeight="1">
      <c r="B73" s="104"/>
      <c r="D73" s="105" t="s">
        <v>3096</v>
      </c>
      <c r="E73" s="106"/>
      <c r="F73" s="106"/>
      <c r="G73" s="106"/>
      <c r="H73" s="106"/>
      <c r="I73" s="106"/>
      <c r="J73" s="107">
        <f>J622</f>
        <v>0</v>
      </c>
      <c r="L73" s="104"/>
    </row>
    <row r="74" spans="2:12" s="9" customFormat="1" ht="19.9" customHeight="1">
      <c r="B74" s="104"/>
      <c r="D74" s="105" t="s">
        <v>3097</v>
      </c>
      <c r="E74" s="106"/>
      <c r="F74" s="106"/>
      <c r="G74" s="106"/>
      <c r="H74" s="106"/>
      <c r="I74" s="106"/>
      <c r="J74" s="107">
        <f>J670</f>
        <v>0</v>
      </c>
      <c r="L74" s="104"/>
    </row>
    <row r="75" spans="2:12" s="8" customFormat="1" ht="24.95" customHeight="1">
      <c r="B75" s="100"/>
      <c r="D75" s="101" t="s">
        <v>3098</v>
      </c>
      <c r="E75" s="102"/>
      <c r="F75" s="102"/>
      <c r="G75" s="102"/>
      <c r="H75" s="102"/>
      <c r="I75" s="102"/>
      <c r="J75" s="103">
        <f>J691</f>
        <v>0</v>
      </c>
      <c r="L75" s="100"/>
    </row>
    <row r="76" spans="2:12" s="9" customFormat="1" ht="19.9" customHeight="1">
      <c r="B76" s="104"/>
      <c r="D76" s="105" t="s">
        <v>3099</v>
      </c>
      <c r="E76" s="106"/>
      <c r="F76" s="106"/>
      <c r="G76" s="106"/>
      <c r="H76" s="106"/>
      <c r="I76" s="106"/>
      <c r="J76" s="107">
        <f>J692</f>
        <v>0</v>
      </c>
      <c r="L76" s="104"/>
    </row>
    <row r="77" spans="2:12" s="8" customFormat="1" ht="24.95" customHeight="1">
      <c r="B77" s="100"/>
      <c r="D77" s="101" t="s">
        <v>161</v>
      </c>
      <c r="E77" s="102"/>
      <c r="F77" s="102"/>
      <c r="G77" s="102"/>
      <c r="H77" s="102"/>
      <c r="I77" s="102"/>
      <c r="J77" s="103">
        <f>J695</f>
        <v>0</v>
      </c>
      <c r="L77" s="100"/>
    </row>
    <row r="78" spans="2:12" s="8" customFormat="1" ht="24.95" customHeight="1">
      <c r="B78" s="100"/>
      <c r="D78" s="101" t="s">
        <v>327</v>
      </c>
      <c r="E78" s="102"/>
      <c r="F78" s="102"/>
      <c r="G78" s="102"/>
      <c r="H78" s="102"/>
      <c r="I78" s="102"/>
      <c r="J78" s="103">
        <f>J701</f>
        <v>0</v>
      </c>
      <c r="L78" s="100"/>
    </row>
    <row r="79" spans="2:12" s="9" customFormat="1" ht="19.9" customHeight="1">
      <c r="B79" s="104"/>
      <c r="D79" s="105" t="s">
        <v>328</v>
      </c>
      <c r="E79" s="106"/>
      <c r="F79" s="106"/>
      <c r="G79" s="106"/>
      <c r="H79" s="106"/>
      <c r="I79" s="106"/>
      <c r="J79" s="107">
        <f>J702</f>
        <v>0</v>
      </c>
      <c r="L79" s="104"/>
    </row>
    <row r="80" spans="2:12" s="1" customFormat="1" ht="21.75" customHeight="1">
      <c r="B80" s="33"/>
      <c r="L80" s="33"/>
    </row>
    <row r="81" spans="2:12" s="1" customFormat="1" ht="6.95" customHeight="1">
      <c r="B81" s="42"/>
      <c r="C81" s="43"/>
      <c r="D81" s="43"/>
      <c r="E81" s="43"/>
      <c r="F81" s="43"/>
      <c r="G81" s="43"/>
      <c r="H81" s="43"/>
      <c r="I81" s="43"/>
      <c r="J81" s="43"/>
      <c r="K81" s="43"/>
      <c r="L81" s="33"/>
    </row>
    <row r="85" spans="2:12" s="1" customFormat="1" ht="6.95" customHeight="1">
      <c r="B85" s="44"/>
      <c r="C85" s="45"/>
      <c r="D85" s="45"/>
      <c r="E85" s="45"/>
      <c r="F85" s="45"/>
      <c r="G85" s="45"/>
      <c r="H85" s="45"/>
      <c r="I85" s="45"/>
      <c r="J85" s="45"/>
      <c r="K85" s="45"/>
      <c r="L85" s="33"/>
    </row>
    <row r="86" spans="2:12" s="1" customFormat="1" ht="24.95" customHeight="1">
      <c r="B86" s="33"/>
      <c r="C86" s="22" t="s">
        <v>162</v>
      </c>
      <c r="L86" s="33"/>
    </row>
    <row r="87" spans="2:12" s="1" customFormat="1" ht="6.95" customHeight="1">
      <c r="B87" s="33"/>
      <c r="L87" s="33"/>
    </row>
    <row r="88" spans="2:12" s="1" customFormat="1" ht="12" customHeight="1">
      <c r="B88" s="33"/>
      <c r="C88" s="28" t="s">
        <v>17</v>
      </c>
      <c r="L88" s="33"/>
    </row>
    <row r="89" spans="2:12" s="1" customFormat="1" ht="16.5" customHeight="1">
      <c r="B89" s="33"/>
      <c r="E89" s="315" t="str">
        <f>E7</f>
        <v>ZŠ P. HOLÉHO - PŘESTAVBA PLAVECKÉHO PAVILONU</v>
      </c>
      <c r="F89" s="316"/>
      <c r="G89" s="316"/>
      <c r="H89" s="316"/>
      <c r="L89" s="33"/>
    </row>
    <row r="90" spans="2:12" s="1" customFormat="1" ht="12" customHeight="1">
      <c r="B90" s="33"/>
      <c r="C90" s="28" t="s">
        <v>146</v>
      </c>
      <c r="L90" s="33"/>
    </row>
    <row r="91" spans="2:12" s="1" customFormat="1" ht="30" customHeight="1">
      <c r="B91" s="33"/>
      <c r="E91" s="281" t="str">
        <f>E9</f>
        <v>E14 - Dokončovací práce - výtah,zábradlí.obklady,parapety,malby,žaluzie,podlahy,dveře,dok.TZB</v>
      </c>
      <c r="F91" s="317"/>
      <c r="G91" s="317"/>
      <c r="H91" s="317"/>
      <c r="L91" s="33"/>
    </row>
    <row r="92" spans="2:12" s="1" customFormat="1" ht="6.95" customHeight="1">
      <c r="B92" s="33"/>
      <c r="L92" s="33"/>
    </row>
    <row r="93" spans="2:12" s="1" customFormat="1" ht="12" customHeight="1">
      <c r="B93" s="33"/>
      <c r="C93" s="28" t="s">
        <v>21</v>
      </c>
      <c r="F93" s="26" t="str">
        <f>F12</f>
        <v>Prokopa Holého 2632, Louny, 440 01</v>
      </c>
      <c r="I93" s="28" t="s">
        <v>23</v>
      </c>
      <c r="J93" s="50" t="str">
        <f>IF(J12="","",J12)</f>
        <v>21. 9. 2022</v>
      </c>
      <c r="L93" s="33"/>
    </row>
    <row r="94" spans="2:12" s="1" customFormat="1" ht="6.95" customHeight="1">
      <c r="B94" s="33"/>
      <c r="L94" s="33"/>
    </row>
    <row r="95" spans="2:12" s="1" customFormat="1" ht="15.2" customHeight="1">
      <c r="B95" s="33"/>
      <c r="C95" s="28" t="s">
        <v>25</v>
      </c>
      <c r="F95" s="26" t="str">
        <f>E15</f>
        <v>Město Louny</v>
      </c>
      <c r="I95" s="28" t="s">
        <v>32</v>
      </c>
      <c r="J95" s="31" t="str">
        <f>E21</f>
        <v>RYSIK Design s.r.o.</v>
      </c>
      <c r="L95" s="33"/>
    </row>
    <row r="96" spans="2:12" s="1" customFormat="1" ht="25.7" customHeight="1">
      <c r="B96" s="33"/>
      <c r="C96" s="28" t="s">
        <v>30</v>
      </c>
      <c r="F96" s="26" t="str">
        <f>IF(E18="","",E18)</f>
        <v>Vyplň údaj</v>
      </c>
      <c r="I96" s="28" t="s">
        <v>37</v>
      </c>
      <c r="J96" s="31" t="str">
        <f>E24</f>
        <v>ing. Kateřina Tumpachová</v>
      </c>
      <c r="L96" s="33"/>
    </row>
    <row r="97" spans="2:12" s="1" customFormat="1" ht="10.35" customHeight="1">
      <c r="B97" s="33"/>
      <c r="L97" s="33"/>
    </row>
    <row r="98" spans="2:20" s="10" customFormat="1" ht="29.25" customHeight="1">
      <c r="B98" s="108"/>
      <c r="C98" s="109" t="s">
        <v>163</v>
      </c>
      <c r="D98" s="110" t="s">
        <v>62</v>
      </c>
      <c r="E98" s="110" t="s">
        <v>58</v>
      </c>
      <c r="F98" s="110" t="s">
        <v>59</v>
      </c>
      <c r="G98" s="110" t="s">
        <v>164</v>
      </c>
      <c r="H98" s="110" t="s">
        <v>165</v>
      </c>
      <c r="I98" s="110" t="s">
        <v>166</v>
      </c>
      <c r="J98" s="110" t="s">
        <v>151</v>
      </c>
      <c r="K98" s="111" t="s">
        <v>167</v>
      </c>
      <c r="L98" s="108"/>
      <c r="M98" s="57" t="s">
        <v>3</v>
      </c>
      <c r="N98" s="58" t="s">
        <v>47</v>
      </c>
      <c r="O98" s="58" t="s">
        <v>168</v>
      </c>
      <c r="P98" s="58" t="s">
        <v>169</v>
      </c>
      <c r="Q98" s="58" t="s">
        <v>170</v>
      </c>
      <c r="R98" s="58" t="s">
        <v>171</v>
      </c>
      <c r="S98" s="58" t="s">
        <v>172</v>
      </c>
      <c r="T98" s="59" t="s">
        <v>173</v>
      </c>
    </row>
    <row r="99" spans="2:63" s="1" customFormat="1" ht="22.9" customHeight="1">
      <c r="B99" s="33"/>
      <c r="C99" s="62" t="s">
        <v>174</v>
      </c>
      <c r="J99" s="112">
        <f>BK99</f>
        <v>0</v>
      </c>
      <c r="L99" s="33"/>
      <c r="M99" s="60"/>
      <c r="N99" s="51"/>
      <c r="O99" s="51"/>
      <c r="P99" s="113">
        <f>P100+P172+P691+P695+P701</f>
        <v>0</v>
      </c>
      <c r="Q99" s="51"/>
      <c r="R99" s="113">
        <f>R100+R172+R691+R695+R701</f>
        <v>18.87166948781</v>
      </c>
      <c r="S99" s="51"/>
      <c r="T99" s="114">
        <f>T100+T172+T691+T695+T701</f>
        <v>0</v>
      </c>
      <c r="AT99" s="18" t="s">
        <v>76</v>
      </c>
      <c r="AU99" s="18" t="s">
        <v>152</v>
      </c>
      <c r="BK99" s="115">
        <f>BK100+BK172+BK691+BK695+BK701</f>
        <v>0</v>
      </c>
    </row>
    <row r="100" spans="2:63" s="11" customFormat="1" ht="25.9" customHeight="1">
      <c r="B100" s="116"/>
      <c r="D100" s="117" t="s">
        <v>76</v>
      </c>
      <c r="E100" s="118" t="s">
        <v>175</v>
      </c>
      <c r="F100" s="118" t="s">
        <v>176</v>
      </c>
      <c r="I100" s="119"/>
      <c r="J100" s="120">
        <f>BK100</f>
        <v>0</v>
      </c>
      <c r="L100" s="116"/>
      <c r="M100" s="121"/>
      <c r="P100" s="122">
        <f>P101+P141+P167</f>
        <v>0</v>
      </c>
      <c r="R100" s="122">
        <f>R101+R141+R167</f>
        <v>1.0727194</v>
      </c>
      <c r="T100" s="123">
        <f>T101+T141+T167</f>
        <v>0</v>
      </c>
      <c r="AR100" s="117" t="s">
        <v>85</v>
      </c>
      <c r="AT100" s="124" t="s">
        <v>76</v>
      </c>
      <c r="AU100" s="124" t="s">
        <v>77</v>
      </c>
      <c r="AY100" s="117" t="s">
        <v>177</v>
      </c>
      <c r="BK100" s="125">
        <f>BK101+BK141+BK167</f>
        <v>0</v>
      </c>
    </row>
    <row r="101" spans="2:63" s="11" customFormat="1" ht="22.9" customHeight="1">
      <c r="B101" s="116"/>
      <c r="D101" s="117" t="s">
        <v>76</v>
      </c>
      <c r="E101" s="126" t="s">
        <v>233</v>
      </c>
      <c r="F101" s="126" t="s">
        <v>625</v>
      </c>
      <c r="I101" s="119"/>
      <c r="J101" s="127">
        <f>BK101</f>
        <v>0</v>
      </c>
      <c r="L101" s="116"/>
      <c r="M101" s="121"/>
      <c r="P101" s="122">
        <f>SUM(P102:P140)</f>
        <v>0</v>
      </c>
      <c r="R101" s="122">
        <f>SUM(R102:R140)</f>
        <v>0.7392154000000001</v>
      </c>
      <c r="T101" s="123">
        <f>SUM(T102:T140)</f>
        <v>0</v>
      </c>
      <c r="AR101" s="117" t="s">
        <v>85</v>
      </c>
      <c r="AT101" s="124" t="s">
        <v>76</v>
      </c>
      <c r="AU101" s="124" t="s">
        <v>85</v>
      </c>
      <c r="AY101" s="117" t="s">
        <v>177</v>
      </c>
      <c r="BK101" s="125">
        <f>SUM(BK102:BK140)</f>
        <v>0</v>
      </c>
    </row>
    <row r="102" spans="2:65" s="1" customFormat="1" ht="24.2" customHeight="1">
      <c r="B102" s="128"/>
      <c r="C102" s="129" t="s">
        <v>85</v>
      </c>
      <c r="D102" s="129" t="s">
        <v>180</v>
      </c>
      <c r="E102" s="130" t="s">
        <v>3100</v>
      </c>
      <c r="F102" s="131" t="s">
        <v>3101</v>
      </c>
      <c r="G102" s="132" t="s">
        <v>332</v>
      </c>
      <c r="H102" s="133">
        <v>16.1</v>
      </c>
      <c r="I102" s="134"/>
      <c r="J102" s="135">
        <f>ROUND(I102*H102,2)</f>
        <v>0</v>
      </c>
      <c r="K102" s="131" t="s">
        <v>184</v>
      </c>
      <c r="L102" s="33"/>
      <c r="M102" s="136" t="s">
        <v>3</v>
      </c>
      <c r="N102" s="137" t="s">
        <v>48</v>
      </c>
      <c r="P102" s="138">
        <f>O102*H102</f>
        <v>0</v>
      </c>
      <c r="Q102" s="138">
        <v>0.00735</v>
      </c>
      <c r="R102" s="138">
        <f>Q102*H102</f>
        <v>0.11833500000000001</v>
      </c>
      <c r="S102" s="138">
        <v>0</v>
      </c>
      <c r="T102" s="139">
        <f>S102*H102</f>
        <v>0</v>
      </c>
      <c r="AR102" s="140" t="s">
        <v>185</v>
      </c>
      <c r="AT102" s="140" t="s">
        <v>180</v>
      </c>
      <c r="AU102" s="140" t="s">
        <v>87</v>
      </c>
      <c r="AY102" s="18" t="s">
        <v>177</v>
      </c>
      <c r="BE102" s="141">
        <f>IF(N102="základní",J102,0)</f>
        <v>0</v>
      </c>
      <c r="BF102" s="141">
        <f>IF(N102="snížená",J102,0)</f>
        <v>0</v>
      </c>
      <c r="BG102" s="141">
        <f>IF(N102="zákl. přenesená",J102,0)</f>
        <v>0</v>
      </c>
      <c r="BH102" s="141">
        <f>IF(N102="sníž. přenesená",J102,0)</f>
        <v>0</v>
      </c>
      <c r="BI102" s="141">
        <f>IF(N102="nulová",J102,0)</f>
        <v>0</v>
      </c>
      <c r="BJ102" s="18" t="s">
        <v>85</v>
      </c>
      <c r="BK102" s="141">
        <f>ROUND(I102*H102,2)</f>
        <v>0</v>
      </c>
      <c r="BL102" s="18" t="s">
        <v>185</v>
      </c>
      <c r="BM102" s="140" t="s">
        <v>3102</v>
      </c>
    </row>
    <row r="103" spans="2:47" s="1" customFormat="1" ht="19.5">
      <c r="B103" s="33"/>
      <c r="D103" s="142" t="s">
        <v>187</v>
      </c>
      <c r="F103" s="143" t="s">
        <v>3103</v>
      </c>
      <c r="I103" s="144"/>
      <c r="L103" s="33"/>
      <c r="M103" s="145"/>
      <c r="T103" s="54"/>
      <c r="AT103" s="18" t="s">
        <v>187</v>
      </c>
      <c r="AU103" s="18" t="s">
        <v>87</v>
      </c>
    </row>
    <row r="104" spans="2:47" s="1" customFormat="1" ht="11.25">
      <c r="B104" s="33"/>
      <c r="D104" s="146" t="s">
        <v>189</v>
      </c>
      <c r="F104" s="147" t="s">
        <v>3104</v>
      </c>
      <c r="I104" s="144"/>
      <c r="L104" s="33"/>
      <c r="M104" s="145"/>
      <c r="T104" s="54"/>
      <c r="AT104" s="18" t="s">
        <v>189</v>
      </c>
      <c r="AU104" s="18" t="s">
        <v>87</v>
      </c>
    </row>
    <row r="105" spans="2:65" s="1" customFormat="1" ht="24.2" customHeight="1">
      <c r="B105" s="128"/>
      <c r="C105" s="129" t="s">
        <v>87</v>
      </c>
      <c r="D105" s="129" t="s">
        <v>180</v>
      </c>
      <c r="E105" s="130" t="s">
        <v>3105</v>
      </c>
      <c r="F105" s="131" t="s">
        <v>3106</v>
      </c>
      <c r="G105" s="132" t="s">
        <v>332</v>
      </c>
      <c r="H105" s="133">
        <v>16.1</v>
      </c>
      <c r="I105" s="134"/>
      <c r="J105" s="135">
        <f>ROUND(I105*H105,2)</f>
        <v>0</v>
      </c>
      <c r="K105" s="131" t="s">
        <v>184</v>
      </c>
      <c r="L105" s="33"/>
      <c r="M105" s="136" t="s">
        <v>3</v>
      </c>
      <c r="N105" s="137" t="s">
        <v>48</v>
      </c>
      <c r="P105" s="138">
        <f>O105*H105</f>
        <v>0</v>
      </c>
      <c r="Q105" s="138">
        <v>0.004384</v>
      </c>
      <c r="R105" s="138">
        <f>Q105*H105</f>
        <v>0.0705824</v>
      </c>
      <c r="S105" s="138">
        <v>0</v>
      </c>
      <c r="T105" s="139">
        <f>S105*H105</f>
        <v>0</v>
      </c>
      <c r="AR105" s="140" t="s">
        <v>185</v>
      </c>
      <c r="AT105" s="140" t="s">
        <v>180</v>
      </c>
      <c r="AU105" s="140" t="s">
        <v>87</v>
      </c>
      <c r="AY105" s="18" t="s">
        <v>177</v>
      </c>
      <c r="BE105" s="141">
        <f>IF(N105="základní",J105,0)</f>
        <v>0</v>
      </c>
      <c r="BF105" s="141">
        <f>IF(N105="snížená",J105,0)</f>
        <v>0</v>
      </c>
      <c r="BG105" s="141">
        <f>IF(N105="zákl. přenesená",J105,0)</f>
        <v>0</v>
      </c>
      <c r="BH105" s="141">
        <f>IF(N105="sníž. přenesená",J105,0)</f>
        <v>0</v>
      </c>
      <c r="BI105" s="141">
        <f>IF(N105="nulová",J105,0)</f>
        <v>0</v>
      </c>
      <c r="BJ105" s="18" t="s">
        <v>85</v>
      </c>
      <c r="BK105" s="141">
        <f>ROUND(I105*H105,2)</f>
        <v>0</v>
      </c>
      <c r="BL105" s="18" t="s">
        <v>185</v>
      </c>
      <c r="BM105" s="140" t="s">
        <v>3107</v>
      </c>
    </row>
    <row r="106" spans="2:47" s="1" customFormat="1" ht="19.5">
      <c r="B106" s="33"/>
      <c r="D106" s="142" t="s">
        <v>187</v>
      </c>
      <c r="F106" s="143" t="s">
        <v>3108</v>
      </c>
      <c r="I106" s="144"/>
      <c r="L106" s="33"/>
      <c r="M106" s="145"/>
      <c r="T106" s="54"/>
      <c r="AT106" s="18" t="s">
        <v>187</v>
      </c>
      <c r="AU106" s="18" t="s">
        <v>87</v>
      </c>
    </row>
    <row r="107" spans="2:47" s="1" customFormat="1" ht="11.25">
      <c r="B107" s="33"/>
      <c r="D107" s="146" t="s">
        <v>189</v>
      </c>
      <c r="F107" s="147" t="s">
        <v>3109</v>
      </c>
      <c r="I107" s="144"/>
      <c r="L107" s="33"/>
      <c r="M107" s="145"/>
      <c r="T107" s="54"/>
      <c r="AT107" s="18" t="s">
        <v>189</v>
      </c>
      <c r="AU107" s="18" t="s">
        <v>87</v>
      </c>
    </row>
    <row r="108" spans="2:47" s="1" customFormat="1" ht="29.25">
      <c r="B108" s="33"/>
      <c r="D108" s="142" t="s">
        <v>191</v>
      </c>
      <c r="F108" s="148" t="s">
        <v>638</v>
      </c>
      <c r="I108" s="144"/>
      <c r="L108" s="33"/>
      <c r="M108" s="145"/>
      <c r="T108" s="54"/>
      <c r="AT108" s="18" t="s">
        <v>191</v>
      </c>
      <c r="AU108" s="18" t="s">
        <v>87</v>
      </c>
    </row>
    <row r="109" spans="2:65" s="1" customFormat="1" ht="24.2" customHeight="1">
      <c r="B109" s="128"/>
      <c r="C109" s="129" t="s">
        <v>198</v>
      </c>
      <c r="D109" s="129" t="s">
        <v>180</v>
      </c>
      <c r="E109" s="130" t="s">
        <v>3110</v>
      </c>
      <c r="F109" s="131" t="s">
        <v>3111</v>
      </c>
      <c r="G109" s="132" t="s">
        <v>332</v>
      </c>
      <c r="H109" s="133">
        <v>16.1</v>
      </c>
      <c r="I109" s="134"/>
      <c r="J109" s="135">
        <f>ROUND(I109*H109,2)</f>
        <v>0</v>
      </c>
      <c r="K109" s="131" t="s">
        <v>184</v>
      </c>
      <c r="L109" s="33"/>
      <c r="M109" s="136" t="s">
        <v>3</v>
      </c>
      <c r="N109" s="137" t="s">
        <v>48</v>
      </c>
      <c r="P109" s="138">
        <f>O109*H109</f>
        <v>0</v>
      </c>
      <c r="Q109" s="138">
        <v>0.01838</v>
      </c>
      <c r="R109" s="138">
        <f>Q109*H109</f>
        <v>0.295918</v>
      </c>
      <c r="S109" s="138">
        <v>0</v>
      </c>
      <c r="T109" s="139">
        <f>S109*H109</f>
        <v>0</v>
      </c>
      <c r="AR109" s="140" t="s">
        <v>185</v>
      </c>
      <c r="AT109" s="140" t="s">
        <v>180</v>
      </c>
      <c r="AU109" s="140" t="s">
        <v>87</v>
      </c>
      <c r="AY109" s="18" t="s">
        <v>177</v>
      </c>
      <c r="BE109" s="141">
        <f>IF(N109="základní",J109,0)</f>
        <v>0</v>
      </c>
      <c r="BF109" s="141">
        <f>IF(N109="snížená",J109,0)</f>
        <v>0</v>
      </c>
      <c r="BG109" s="141">
        <f>IF(N109="zákl. přenesená",J109,0)</f>
        <v>0</v>
      </c>
      <c r="BH109" s="141">
        <f>IF(N109="sníž. přenesená",J109,0)</f>
        <v>0</v>
      </c>
      <c r="BI109" s="141">
        <f>IF(N109="nulová",J109,0)</f>
        <v>0</v>
      </c>
      <c r="BJ109" s="18" t="s">
        <v>85</v>
      </c>
      <c r="BK109" s="141">
        <f>ROUND(I109*H109,2)</f>
        <v>0</v>
      </c>
      <c r="BL109" s="18" t="s">
        <v>185</v>
      </c>
      <c r="BM109" s="140" t="s">
        <v>3112</v>
      </c>
    </row>
    <row r="110" spans="2:47" s="1" customFormat="1" ht="29.25">
      <c r="B110" s="33"/>
      <c r="D110" s="142" t="s">
        <v>187</v>
      </c>
      <c r="F110" s="143" t="s">
        <v>3113</v>
      </c>
      <c r="I110" s="144"/>
      <c r="L110" s="33"/>
      <c r="M110" s="145"/>
      <c r="T110" s="54"/>
      <c r="AT110" s="18" t="s">
        <v>187</v>
      </c>
      <c r="AU110" s="18" t="s">
        <v>87</v>
      </c>
    </row>
    <row r="111" spans="2:47" s="1" customFormat="1" ht="11.25">
      <c r="B111" s="33"/>
      <c r="D111" s="146" t="s">
        <v>189</v>
      </c>
      <c r="F111" s="147" t="s">
        <v>3114</v>
      </c>
      <c r="I111" s="144"/>
      <c r="L111" s="33"/>
      <c r="M111" s="145"/>
      <c r="T111" s="54"/>
      <c r="AT111" s="18" t="s">
        <v>189</v>
      </c>
      <c r="AU111" s="18" t="s">
        <v>87</v>
      </c>
    </row>
    <row r="112" spans="2:47" s="1" customFormat="1" ht="78">
      <c r="B112" s="33"/>
      <c r="D112" s="142" t="s">
        <v>191</v>
      </c>
      <c r="F112" s="148" t="s">
        <v>2120</v>
      </c>
      <c r="I112" s="144"/>
      <c r="L112" s="33"/>
      <c r="M112" s="145"/>
      <c r="T112" s="54"/>
      <c r="AT112" s="18" t="s">
        <v>191</v>
      </c>
      <c r="AU112" s="18" t="s">
        <v>87</v>
      </c>
    </row>
    <row r="113" spans="2:51" s="12" customFormat="1" ht="11.25">
      <c r="B113" s="149"/>
      <c r="D113" s="142" t="s">
        <v>193</v>
      </c>
      <c r="E113" s="150" t="s">
        <v>3</v>
      </c>
      <c r="F113" s="151" t="s">
        <v>3115</v>
      </c>
      <c r="H113" s="152">
        <v>16.1</v>
      </c>
      <c r="I113" s="153"/>
      <c r="L113" s="149"/>
      <c r="M113" s="154"/>
      <c r="T113" s="155"/>
      <c r="AT113" s="150" t="s">
        <v>193</v>
      </c>
      <c r="AU113" s="150" t="s">
        <v>87</v>
      </c>
      <c r="AV113" s="12" t="s">
        <v>87</v>
      </c>
      <c r="AW113" s="12" t="s">
        <v>36</v>
      </c>
      <c r="AX113" s="12" t="s">
        <v>85</v>
      </c>
      <c r="AY113" s="150" t="s">
        <v>177</v>
      </c>
    </row>
    <row r="114" spans="2:65" s="1" customFormat="1" ht="24.2" customHeight="1">
      <c r="B114" s="128"/>
      <c r="C114" s="129" t="s">
        <v>185</v>
      </c>
      <c r="D114" s="129" t="s">
        <v>180</v>
      </c>
      <c r="E114" s="130" t="s">
        <v>3116</v>
      </c>
      <c r="F114" s="131" t="s">
        <v>3117</v>
      </c>
      <c r="G114" s="132" t="s">
        <v>332</v>
      </c>
      <c r="H114" s="133">
        <v>32.2</v>
      </c>
      <c r="I114" s="134"/>
      <c r="J114" s="135">
        <f>ROUND(I114*H114,2)</f>
        <v>0</v>
      </c>
      <c r="K114" s="131" t="s">
        <v>184</v>
      </c>
      <c r="L114" s="33"/>
      <c r="M114" s="136" t="s">
        <v>3</v>
      </c>
      <c r="N114" s="137" t="s">
        <v>48</v>
      </c>
      <c r="P114" s="138">
        <f>O114*H114</f>
        <v>0</v>
      </c>
      <c r="Q114" s="138">
        <v>0.0079</v>
      </c>
      <c r="R114" s="138">
        <f>Q114*H114</f>
        <v>0.25438000000000005</v>
      </c>
      <c r="S114" s="138">
        <v>0</v>
      </c>
      <c r="T114" s="139">
        <f>S114*H114</f>
        <v>0</v>
      </c>
      <c r="AR114" s="140" t="s">
        <v>185</v>
      </c>
      <c r="AT114" s="140" t="s">
        <v>180</v>
      </c>
      <c r="AU114" s="140" t="s">
        <v>87</v>
      </c>
      <c r="AY114" s="18" t="s">
        <v>177</v>
      </c>
      <c r="BE114" s="141">
        <f>IF(N114="základní",J114,0)</f>
        <v>0</v>
      </c>
      <c r="BF114" s="141">
        <f>IF(N114="snížená",J114,0)</f>
        <v>0</v>
      </c>
      <c r="BG114" s="141">
        <f>IF(N114="zákl. přenesená",J114,0)</f>
        <v>0</v>
      </c>
      <c r="BH114" s="141">
        <f>IF(N114="sníž. přenesená",J114,0)</f>
        <v>0</v>
      </c>
      <c r="BI114" s="141">
        <f>IF(N114="nulová",J114,0)</f>
        <v>0</v>
      </c>
      <c r="BJ114" s="18" t="s">
        <v>85</v>
      </c>
      <c r="BK114" s="141">
        <f>ROUND(I114*H114,2)</f>
        <v>0</v>
      </c>
      <c r="BL114" s="18" t="s">
        <v>185</v>
      </c>
      <c r="BM114" s="140" t="s">
        <v>3118</v>
      </c>
    </row>
    <row r="115" spans="2:47" s="1" customFormat="1" ht="29.25">
      <c r="B115" s="33"/>
      <c r="D115" s="142" t="s">
        <v>187</v>
      </c>
      <c r="F115" s="143" t="s">
        <v>3119</v>
      </c>
      <c r="I115" s="144"/>
      <c r="L115" s="33"/>
      <c r="M115" s="145"/>
      <c r="T115" s="54"/>
      <c r="AT115" s="18" t="s">
        <v>187</v>
      </c>
      <c r="AU115" s="18" t="s">
        <v>87</v>
      </c>
    </row>
    <row r="116" spans="2:47" s="1" customFormat="1" ht="11.25">
      <c r="B116" s="33"/>
      <c r="D116" s="146" t="s">
        <v>189</v>
      </c>
      <c r="F116" s="147" t="s">
        <v>3120</v>
      </c>
      <c r="I116" s="144"/>
      <c r="L116" s="33"/>
      <c r="M116" s="145"/>
      <c r="T116" s="54"/>
      <c r="AT116" s="18" t="s">
        <v>189</v>
      </c>
      <c r="AU116" s="18" t="s">
        <v>87</v>
      </c>
    </row>
    <row r="117" spans="2:47" s="1" customFormat="1" ht="78">
      <c r="B117" s="33"/>
      <c r="D117" s="142" t="s">
        <v>191</v>
      </c>
      <c r="F117" s="148" t="s">
        <v>2120</v>
      </c>
      <c r="I117" s="144"/>
      <c r="L117" s="33"/>
      <c r="M117" s="145"/>
      <c r="T117" s="54"/>
      <c r="AT117" s="18" t="s">
        <v>191</v>
      </c>
      <c r="AU117" s="18" t="s">
        <v>87</v>
      </c>
    </row>
    <row r="118" spans="2:51" s="12" customFormat="1" ht="11.25">
      <c r="B118" s="149"/>
      <c r="D118" s="142" t="s">
        <v>193</v>
      </c>
      <c r="E118" s="150" t="s">
        <v>3</v>
      </c>
      <c r="F118" s="151" t="s">
        <v>3121</v>
      </c>
      <c r="H118" s="152">
        <v>32.2</v>
      </c>
      <c r="I118" s="153"/>
      <c r="L118" s="149"/>
      <c r="M118" s="154"/>
      <c r="T118" s="155"/>
      <c r="AT118" s="150" t="s">
        <v>193</v>
      </c>
      <c r="AU118" s="150" t="s">
        <v>87</v>
      </c>
      <c r="AV118" s="12" t="s">
        <v>87</v>
      </c>
      <c r="AW118" s="12" t="s">
        <v>36</v>
      </c>
      <c r="AX118" s="12" t="s">
        <v>85</v>
      </c>
      <c r="AY118" s="150" t="s">
        <v>177</v>
      </c>
    </row>
    <row r="119" spans="2:65" s="1" customFormat="1" ht="24.2" customHeight="1">
      <c r="B119" s="128"/>
      <c r="C119" s="129" t="s">
        <v>200</v>
      </c>
      <c r="D119" s="129" t="s">
        <v>180</v>
      </c>
      <c r="E119" s="130" t="s">
        <v>3122</v>
      </c>
      <c r="F119" s="131" t="s">
        <v>3123</v>
      </c>
      <c r="G119" s="132" t="s">
        <v>236</v>
      </c>
      <c r="H119" s="133">
        <v>116</v>
      </c>
      <c r="I119" s="134"/>
      <c r="J119" s="135">
        <f>ROUND(I119*H119,2)</f>
        <v>0</v>
      </c>
      <c r="K119" s="131" t="s">
        <v>244</v>
      </c>
      <c r="L119" s="33"/>
      <c r="M119" s="136" t="s">
        <v>3</v>
      </c>
      <c r="N119" s="137" t="s">
        <v>48</v>
      </c>
      <c r="P119" s="138">
        <f>O119*H119</f>
        <v>0</v>
      </c>
      <c r="Q119" s="138">
        <v>0</v>
      </c>
      <c r="R119" s="138">
        <f>Q119*H119</f>
        <v>0</v>
      </c>
      <c r="S119" s="138">
        <v>0</v>
      </c>
      <c r="T119" s="139">
        <f>S119*H119</f>
        <v>0</v>
      </c>
      <c r="AR119" s="140" t="s">
        <v>185</v>
      </c>
      <c r="AT119" s="140" t="s">
        <v>180</v>
      </c>
      <c r="AU119" s="140" t="s">
        <v>87</v>
      </c>
      <c r="AY119" s="18" t="s">
        <v>177</v>
      </c>
      <c r="BE119" s="141">
        <f>IF(N119="základní",J119,0)</f>
        <v>0</v>
      </c>
      <c r="BF119" s="141">
        <f>IF(N119="snížená",J119,0)</f>
        <v>0</v>
      </c>
      <c r="BG119" s="141">
        <f>IF(N119="zákl. přenesená",J119,0)</f>
        <v>0</v>
      </c>
      <c r="BH119" s="141">
        <f>IF(N119="sníž. přenesená",J119,0)</f>
        <v>0</v>
      </c>
      <c r="BI119" s="141">
        <f>IF(N119="nulová",J119,0)</f>
        <v>0</v>
      </c>
      <c r="BJ119" s="18" t="s">
        <v>85</v>
      </c>
      <c r="BK119" s="141">
        <f>ROUND(I119*H119,2)</f>
        <v>0</v>
      </c>
      <c r="BL119" s="18" t="s">
        <v>185</v>
      </c>
      <c r="BM119" s="140" t="s">
        <v>3124</v>
      </c>
    </row>
    <row r="120" spans="2:47" s="1" customFormat="1" ht="19.5">
      <c r="B120" s="33"/>
      <c r="D120" s="142" t="s">
        <v>187</v>
      </c>
      <c r="F120" s="143" t="s">
        <v>3123</v>
      </c>
      <c r="I120" s="144"/>
      <c r="L120" s="33"/>
      <c r="M120" s="145"/>
      <c r="T120" s="54"/>
      <c r="AT120" s="18" t="s">
        <v>187</v>
      </c>
      <c r="AU120" s="18" t="s">
        <v>87</v>
      </c>
    </row>
    <row r="121" spans="2:51" s="13" customFormat="1" ht="11.25">
      <c r="B121" s="156"/>
      <c r="D121" s="142" t="s">
        <v>193</v>
      </c>
      <c r="E121" s="157" t="s">
        <v>3</v>
      </c>
      <c r="F121" s="158" t="s">
        <v>778</v>
      </c>
      <c r="H121" s="157" t="s">
        <v>3</v>
      </c>
      <c r="I121" s="159"/>
      <c r="L121" s="156"/>
      <c r="M121" s="160"/>
      <c r="T121" s="161"/>
      <c r="AT121" s="157" t="s">
        <v>193</v>
      </c>
      <c r="AU121" s="157" t="s">
        <v>87</v>
      </c>
      <c r="AV121" s="13" t="s">
        <v>85</v>
      </c>
      <c r="AW121" s="13" t="s">
        <v>36</v>
      </c>
      <c r="AX121" s="13" t="s">
        <v>77</v>
      </c>
      <c r="AY121" s="157" t="s">
        <v>177</v>
      </c>
    </row>
    <row r="122" spans="2:51" s="12" customFormat="1" ht="11.25">
      <c r="B122" s="149"/>
      <c r="D122" s="142" t="s">
        <v>193</v>
      </c>
      <c r="E122" s="150" t="s">
        <v>3</v>
      </c>
      <c r="F122" s="151" t="s">
        <v>3125</v>
      </c>
      <c r="H122" s="152">
        <v>8</v>
      </c>
      <c r="I122" s="153"/>
      <c r="L122" s="149"/>
      <c r="M122" s="154"/>
      <c r="T122" s="155"/>
      <c r="AT122" s="150" t="s">
        <v>193</v>
      </c>
      <c r="AU122" s="150" t="s">
        <v>87</v>
      </c>
      <c r="AV122" s="12" t="s">
        <v>87</v>
      </c>
      <c r="AW122" s="12" t="s">
        <v>36</v>
      </c>
      <c r="AX122" s="12" t="s">
        <v>77</v>
      </c>
      <c r="AY122" s="150" t="s">
        <v>177</v>
      </c>
    </row>
    <row r="123" spans="2:51" s="12" customFormat="1" ht="11.25">
      <c r="B123" s="149"/>
      <c r="D123" s="142" t="s">
        <v>193</v>
      </c>
      <c r="E123" s="150" t="s">
        <v>3</v>
      </c>
      <c r="F123" s="151" t="s">
        <v>3126</v>
      </c>
      <c r="H123" s="152">
        <v>11</v>
      </c>
      <c r="I123" s="153"/>
      <c r="L123" s="149"/>
      <c r="M123" s="154"/>
      <c r="T123" s="155"/>
      <c r="AT123" s="150" t="s">
        <v>193</v>
      </c>
      <c r="AU123" s="150" t="s">
        <v>87</v>
      </c>
      <c r="AV123" s="12" t="s">
        <v>87</v>
      </c>
      <c r="AW123" s="12" t="s">
        <v>36</v>
      </c>
      <c r="AX123" s="12" t="s">
        <v>77</v>
      </c>
      <c r="AY123" s="150" t="s">
        <v>177</v>
      </c>
    </row>
    <row r="124" spans="2:51" s="12" customFormat="1" ht="11.25">
      <c r="B124" s="149"/>
      <c r="D124" s="142" t="s">
        <v>193</v>
      </c>
      <c r="E124" s="150" t="s">
        <v>3</v>
      </c>
      <c r="F124" s="151" t="s">
        <v>3127</v>
      </c>
      <c r="H124" s="152">
        <v>8</v>
      </c>
      <c r="I124" s="153"/>
      <c r="L124" s="149"/>
      <c r="M124" s="154"/>
      <c r="T124" s="155"/>
      <c r="AT124" s="150" t="s">
        <v>193</v>
      </c>
      <c r="AU124" s="150" t="s">
        <v>87</v>
      </c>
      <c r="AV124" s="12" t="s">
        <v>87</v>
      </c>
      <c r="AW124" s="12" t="s">
        <v>36</v>
      </c>
      <c r="AX124" s="12" t="s">
        <v>77</v>
      </c>
      <c r="AY124" s="150" t="s">
        <v>177</v>
      </c>
    </row>
    <row r="125" spans="2:51" s="12" customFormat="1" ht="11.25">
      <c r="B125" s="149"/>
      <c r="D125" s="142" t="s">
        <v>193</v>
      </c>
      <c r="E125" s="150" t="s">
        <v>3</v>
      </c>
      <c r="F125" s="151" t="s">
        <v>3128</v>
      </c>
      <c r="H125" s="152">
        <v>12</v>
      </c>
      <c r="I125" s="153"/>
      <c r="L125" s="149"/>
      <c r="M125" s="154"/>
      <c r="T125" s="155"/>
      <c r="AT125" s="150" t="s">
        <v>193</v>
      </c>
      <c r="AU125" s="150" t="s">
        <v>87</v>
      </c>
      <c r="AV125" s="12" t="s">
        <v>87</v>
      </c>
      <c r="AW125" s="12" t="s">
        <v>36</v>
      </c>
      <c r="AX125" s="12" t="s">
        <v>77</v>
      </c>
      <c r="AY125" s="150" t="s">
        <v>177</v>
      </c>
    </row>
    <row r="126" spans="2:51" s="12" customFormat="1" ht="11.25">
      <c r="B126" s="149"/>
      <c r="D126" s="142" t="s">
        <v>193</v>
      </c>
      <c r="E126" s="150" t="s">
        <v>3</v>
      </c>
      <c r="F126" s="151" t="s">
        <v>3129</v>
      </c>
      <c r="H126" s="152">
        <v>10</v>
      </c>
      <c r="I126" s="153"/>
      <c r="L126" s="149"/>
      <c r="M126" s="154"/>
      <c r="T126" s="155"/>
      <c r="AT126" s="150" t="s">
        <v>193</v>
      </c>
      <c r="AU126" s="150" t="s">
        <v>87</v>
      </c>
      <c r="AV126" s="12" t="s">
        <v>87</v>
      </c>
      <c r="AW126" s="12" t="s">
        <v>36</v>
      </c>
      <c r="AX126" s="12" t="s">
        <v>77</v>
      </c>
      <c r="AY126" s="150" t="s">
        <v>177</v>
      </c>
    </row>
    <row r="127" spans="2:51" s="12" customFormat="1" ht="11.25">
      <c r="B127" s="149"/>
      <c r="D127" s="142" t="s">
        <v>193</v>
      </c>
      <c r="E127" s="150" t="s">
        <v>3</v>
      </c>
      <c r="F127" s="151" t="s">
        <v>3130</v>
      </c>
      <c r="H127" s="152">
        <v>5</v>
      </c>
      <c r="I127" s="153"/>
      <c r="L127" s="149"/>
      <c r="M127" s="154"/>
      <c r="T127" s="155"/>
      <c r="AT127" s="150" t="s">
        <v>193</v>
      </c>
      <c r="AU127" s="150" t="s">
        <v>87</v>
      </c>
      <c r="AV127" s="12" t="s">
        <v>87</v>
      </c>
      <c r="AW127" s="12" t="s">
        <v>36</v>
      </c>
      <c r="AX127" s="12" t="s">
        <v>77</v>
      </c>
      <c r="AY127" s="150" t="s">
        <v>177</v>
      </c>
    </row>
    <row r="128" spans="2:51" s="14" customFormat="1" ht="11.25">
      <c r="B128" s="162"/>
      <c r="D128" s="142" t="s">
        <v>193</v>
      </c>
      <c r="E128" s="163" t="s">
        <v>3</v>
      </c>
      <c r="F128" s="164" t="s">
        <v>197</v>
      </c>
      <c r="H128" s="165">
        <v>54</v>
      </c>
      <c r="I128" s="166"/>
      <c r="L128" s="162"/>
      <c r="M128" s="167"/>
      <c r="T128" s="168"/>
      <c r="AT128" s="163" t="s">
        <v>193</v>
      </c>
      <c r="AU128" s="163" t="s">
        <v>87</v>
      </c>
      <c r="AV128" s="14" t="s">
        <v>198</v>
      </c>
      <c r="AW128" s="14" t="s">
        <v>36</v>
      </c>
      <c r="AX128" s="14" t="s">
        <v>77</v>
      </c>
      <c r="AY128" s="163" t="s">
        <v>177</v>
      </c>
    </row>
    <row r="129" spans="2:51" s="13" customFormat="1" ht="11.25">
      <c r="B129" s="156"/>
      <c r="D129" s="142" t="s">
        <v>193</v>
      </c>
      <c r="E129" s="157" t="s">
        <v>3</v>
      </c>
      <c r="F129" s="158" t="s">
        <v>929</v>
      </c>
      <c r="H129" s="157" t="s">
        <v>3</v>
      </c>
      <c r="I129" s="159"/>
      <c r="L129" s="156"/>
      <c r="M129" s="160"/>
      <c r="T129" s="161"/>
      <c r="AT129" s="157" t="s">
        <v>193</v>
      </c>
      <c r="AU129" s="157" t="s">
        <v>87</v>
      </c>
      <c r="AV129" s="13" t="s">
        <v>85</v>
      </c>
      <c r="AW129" s="13" t="s">
        <v>36</v>
      </c>
      <c r="AX129" s="13" t="s">
        <v>77</v>
      </c>
      <c r="AY129" s="157" t="s">
        <v>177</v>
      </c>
    </row>
    <row r="130" spans="2:51" s="12" customFormat="1" ht="11.25">
      <c r="B130" s="149"/>
      <c r="D130" s="142" t="s">
        <v>193</v>
      </c>
      <c r="E130" s="150" t="s">
        <v>3</v>
      </c>
      <c r="F130" s="151" t="s">
        <v>3131</v>
      </c>
      <c r="H130" s="152">
        <v>15</v>
      </c>
      <c r="I130" s="153"/>
      <c r="L130" s="149"/>
      <c r="M130" s="154"/>
      <c r="T130" s="155"/>
      <c r="AT130" s="150" t="s">
        <v>193</v>
      </c>
      <c r="AU130" s="150" t="s">
        <v>87</v>
      </c>
      <c r="AV130" s="12" t="s">
        <v>87</v>
      </c>
      <c r="AW130" s="12" t="s">
        <v>36</v>
      </c>
      <c r="AX130" s="12" t="s">
        <v>77</v>
      </c>
      <c r="AY130" s="150" t="s">
        <v>177</v>
      </c>
    </row>
    <row r="131" spans="2:51" s="12" customFormat="1" ht="11.25">
      <c r="B131" s="149"/>
      <c r="D131" s="142" t="s">
        <v>193</v>
      </c>
      <c r="E131" s="150" t="s">
        <v>3</v>
      </c>
      <c r="F131" s="151" t="s">
        <v>3132</v>
      </c>
      <c r="H131" s="152">
        <v>12</v>
      </c>
      <c r="I131" s="153"/>
      <c r="L131" s="149"/>
      <c r="M131" s="154"/>
      <c r="T131" s="155"/>
      <c r="AT131" s="150" t="s">
        <v>193</v>
      </c>
      <c r="AU131" s="150" t="s">
        <v>87</v>
      </c>
      <c r="AV131" s="12" t="s">
        <v>87</v>
      </c>
      <c r="AW131" s="12" t="s">
        <v>36</v>
      </c>
      <c r="AX131" s="12" t="s">
        <v>77</v>
      </c>
      <c r="AY131" s="150" t="s">
        <v>177</v>
      </c>
    </row>
    <row r="132" spans="2:51" s="12" customFormat="1" ht="11.25">
      <c r="B132" s="149"/>
      <c r="D132" s="142" t="s">
        <v>193</v>
      </c>
      <c r="E132" s="150" t="s">
        <v>3</v>
      </c>
      <c r="F132" s="151" t="s">
        <v>198</v>
      </c>
      <c r="H132" s="152">
        <v>3</v>
      </c>
      <c r="I132" s="153"/>
      <c r="L132" s="149"/>
      <c r="M132" s="154"/>
      <c r="T132" s="155"/>
      <c r="AT132" s="150" t="s">
        <v>193</v>
      </c>
      <c r="AU132" s="150" t="s">
        <v>87</v>
      </c>
      <c r="AV132" s="12" t="s">
        <v>87</v>
      </c>
      <c r="AW132" s="12" t="s">
        <v>36</v>
      </c>
      <c r="AX132" s="12" t="s">
        <v>77</v>
      </c>
      <c r="AY132" s="150" t="s">
        <v>177</v>
      </c>
    </row>
    <row r="133" spans="2:51" s="14" customFormat="1" ht="11.25">
      <c r="B133" s="162"/>
      <c r="D133" s="142" t="s">
        <v>193</v>
      </c>
      <c r="E133" s="163" t="s">
        <v>3</v>
      </c>
      <c r="F133" s="164" t="s">
        <v>197</v>
      </c>
      <c r="H133" s="165">
        <v>30</v>
      </c>
      <c r="I133" s="166"/>
      <c r="L133" s="162"/>
      <c r="M133" s="167"/>
      <c r="T133" s="168"/>
      <c r="AT133" s="163" t="s">
        <v>193</v>
      </c>
      <c r="AU133" s="163" t="s">
        <v>87</v>
      </c>
      <c r="AV133" s="14" t="s">
        <v>198</v>
      </c>
      <c r="AW133" s="14" t="s">
        <v>36</v>
      </c>
      <c r="AX133" s="14" t="s">
        <v>77</v>
      </c>
      <c r="AY133" s="163" t="s">
        <v>177</v>
      </c>
    </row>
    <row r="134" spans="2:51" s="13" customFormat="1" ht="11.25">
      <c r="B134" s="156"/>
      <c r="D134" s="142" t="s">
        <v>193</v>
      </c>
      <c r="E134" s="157" t="s">
        <v>3</v>
      </c>
      <c r="F134" s="158" t="s">
        <v>937</v>
      </c>
      <c r="H134" s="157" t="s">
        <v>3</v>
      </c>
      <c r="I134" s="159"/>
      <c r="L134" s="156"/>
      <c r="M134" s="160"/>
      <c r="T134" s="161"/>
      <c r="AT134" s="157" t="s">
        <v>193</v>
      </c>
      <c r="AU134" s="157" t="s">
        <v>87</v>
      </c>
      <c r="AV134" s="13" t="s">
        <v>85</v>
      </c>
      <c r="AW134" s="13" t="s">
        <v>36</v>
      </c>
      <c r="AX134" s="13" t="s">
        <v>77</v>
      </c>
      <c r="AY134" s="157" t="s">
        <v>177</v>
      </c>
    </row>
    <row r="135" spans="2:51" s="12" customFormat="1" ht="11.25">
      <c r="B135" s="149"/>
      <c r="D135" s="142" t="s">
        <v>193</v>
      </c>
      <c r="E135" s="150" t="s">
        <v>3</v>
      </c>
      <c r="F135" s="151" t="s">
        <v>3133</v>
      </c>
      <c r="H135" s="152">
        <v>12</v>
      </c>
      <c r="I135" s="153"/>
      <c r="L135" s="149"/>
      <c r="M135" s="154"/>
      <c r="T135" s="155"/>
      <c r="AT135" s="150" t="s">
        <v>193</v>
      </c>
      <c r="AU135" s="150" t="s">
        <v>87</v>
      </c>
      <c r="AV135" s="12" t="s">
        <v>87</v>
      </c>
      <c r="AW135" s="12" t="s">
        <v>36</v>
      </c>
      <c r="AX135" s="12" t="s">
        <v>77</v>
      </c>
      <c r="AY135" s="150" t="s">
        <v>177</v>
      </c>
    </row>
    <row r="136" spans="2:51" s="12" customFormat="1" ht="11.25">
      <c r="B136" s="149"/>
      <c r="D136" s="142" t="s">
        <v>193</v>
      </c>
      <c r="E136" s="150" t="s">
        <v>3</v>
      </c>
      <c r="F136" s="151" t="s">
        <v>3134</v>
      </c>
      <c r="H136" s="152">
        <v>10</v>
      </c>
      <c r="I136" s="153"/>
      <c r="L136" s="149"/>
      <c r="M136" s="154"/>
      <c r="T136" s="155"/>
      <c r="AT136" s="150" t="s">
        <v>193</v>
      </c>
      <c r="AU136" s="150" t="s">
        <v>87</v>
      </c>
      <c r="AV136" s="12" t="s">
        <v>87</v>
      </c>
      <c r="AW136" s="12" t="s">
        <v>36</v>
      </c>
      <c r="AX136" s="12" t="s">
        <v>77</v>
      </c>
      <c r="AY136" s="150" t="s">
        <v>177</v>
      </c>
    </row>
    <row r="137" spans="2:51" s="12" customFormat="1" ht="11.25">
      <c r="B137" s="149"/>
      <c r="D137" s="142" t="s">
        <v>193</v>
      </c>
      <c r="E137" s="150" t="s">
        <v>3</v>
      </c>
      <c r="F137" s="151" t="s">
        <v>185</v>
      </c>
      <c r="H137" s="152">
        <v>4</v>
      </c>
      <c r="I137" s="153"/>
      <c r="L137" s="149"/>
      <c r="M137" s="154"/>
      <c r="T137" s="155"/>
      <c r="AT137" s="150" t="s">
        <v>193</v>
      </c>
      <c r="AU137" s="150" t="s">
        <v>87</v>
      </c>
      <c r="AV137" s="12" t="s">
        <v>87</v>
      </c>
      <c r="AW137" s="12" t="s">
        <v>36</v>
      </c>
      <c r="AX137" s="12" t="s">
        <v>77</v>
      </c>
      <c r="AY137" s="150" t="s">
        <v>177</v>
      </c>
    </row>
    <row r="138" spans="2:51" s="12" customFormat="1" ht="11.25">
      <c r="B138" s="149"/>
      <c r="D138" s="142" t="s">
        <v>193</v>
      </c>
      <c r="E138" s="150" t="s">
        <v>3</v>
      </c>
      <c r="F138" s="151" t="s">
        <v>3135</v>
      </c>
      <c r="H138" s="152">
        <v>6</v>
      </c>
      <c r="I138" s="153"/>
      <c r="L138" s="149"/>
      <c r="M138" s="154"/>
      <c r="T138" s="155"/>
      <c r="AT138" s="150" t="s">
        <v>193</v>
      </c>
      <c r="AU138" s="150" t="s">
        <v>87</v>
      </c>
      <c r="AV138" s="12" t="s">
        <v>87</v>
      </c>
      <c r="AW138" s="12" t="s">
        <v>36</v>
      </c>
      <c r="AX138" s="12" t="s">
        <v>77</v>
      </c>
      <c r="AY138" s="150" t="s">
        <v>177</v>
      </c>
    </row>
    <row r="139" spans="2:51" s="14" customFormat="1" ht="11.25">
      <c r="B139" s="162"/>
      <c r="D139" s="142" t="s">
        <v>193</v>
      </c>
      <c r="E139" s="163" t="s">
        <v>3</v>
      </c>
      <c r="F139" s="164" t="s">
        <v>197</v>
      </c>
      <c r="H139" s="165">
        <v>32</v>
      </c>
      <c r="I139" s="166"/>
      <c r="L139" s="162"/>
      <c r="M139" s="167"/>
      <c r="T139" s="168"/>
      <c r="AT139" s="163" t="s">
        <v>193</v>
      </c>
      <c r="AU139" s="163" t="s">
        <v>87</v>
      </c>
      <c r="AV139" s="14" t="s">
        <v>198</v>
      </c>
      <c r="AW139" s="14" t="s">
        <v>36</v>
      </c>
      <c r="AX139" s="14" t="s">
        <v>77</v>
      </c>
      <c r="AY139" s="163" t="s">
        <v>177</v>
      </c>
    </row>
    <row r="140" spans="2:51" s="15" customFormat="1" ht="11.25">
      <c r="B140" s="169"/>
      <c r="D140" s="142" t="s">
        <v>193</v>
      </c>
      <c r="E140" s="170" t="s">
        <v>3</v>
      </c>
      <c r="F140" s="171" t="s">
        <v>201</v>
      </c>
      <c r="H140" s="172">
        <v>116</v>
      </c>
      <c r="I140" s="173"/>
      <c r="L140" s="169"/>
      <c r="M140" s="174"/>
      <c r="T140" s="175"/>
      <c r="AT140" s="170" t="s">
        <v>193</v>
      </c>
      <c r="AU140" s="170" t="s">
        <v>87</v>
      </c>
      <c r="AV140" s="15" t="s">
        <v>185</v>
      </c>
      <c r="AW140" s="15" t="s">
        <v>36</v>
      </c>
      <c r="AX140" s="15" t="s">
        <v>85</v>
      </c>
      <c r="AY140" s="170" t="s">
        <v>177</v>
      </c>
    </row>
    <row r="141" spans="2:63" s="11" customFormat="1" ht="22.9" customHeight="1">
      <c r="B141" s="116"/>
      <c r="D141" s="117" t="s">
        <v>76</v>
      </c>
      <c r="E141" s="126" t="s">
        <v>252</v>
      </c>
      <c r="F141" s="126" t="s">
        <v>329</v>
      </c>
      <c r="I141" s="119"/>
      <c r="J141" s="127">
        <f>BK141</f>
        <v>0</v>
      </c>
      <c r="L141" s="116"/>
      <c r="M141" s="121"/>
      <c r="P141" s="122">
        <f>SUM(P142:P166)</f>
        <v>0</v>
      </c>
      <c r="R141" s="122">
        <f>SUM(R142:R166)</f>
        <v>0.33350399999999997</v>
      </c>
      <c r="T141" s="123">
        <f>SUM(T142:T166)</f>
        <v>0</v>
      </c>
      <c r="AR141" s="117" t="s">
        <v>85</v>
      </c>
      <c r="AT141" s="124" t="s">
        <v>76</v>
      </c>
      <c r="AU141" s="124" t="s">
        <v>85</v>
      </c>
      <c r="AY141" s="117" t="s">
        <v>177</v>
      </c>
      <c r="BK141" s="125">
        <f>SUM(BK142:BK166)</f>
        <v>0</v>
      </c>
    </row>
    <row r="142" spans="2:65" s="1" customFormat="1" ht="33" customHeight="1">
      <c r="B142" s="128"/>
      <c r="C142" s="129" t="s">
        <v>233</v>
      </c>
      <c r="D142" s="129" t="s">
        <v>180</v>
      </c>
      <c r="E142" s="130" t="s">
        <v>681</v>
      </c>
      <c r="F142" s="131" t="s">
        <v>682</v>
      </c>
      <c r="G142" s="132" t="s">
        <v>332</v>
      </c>
      <c r="H142" s="133">
        <v>969.6</v>
      </c>
      <c r="I142" s="134"/>
      <c r="J142" s="135">
        <f>ROUND(I142*H142,2)</f>
        <v>0</v>
      </c>
      <c r="K142" s="131" t="s">
        <v>184</v>
      </c>
      <c r="L142" s="33"/>
      <c r="M142" s="136" t="s">
        <v>3</v>
      </c>
      <c r="N142" s="137" t="s">
        <v>48</v>
      </c>
      <c r="P142" s="138">
        <f>O142*H142</f>
        <v>0</v>
      </c>
      <c r="Q142" s="138">
        <v>0.00013</v>
      </c>
      <c r="R142" s="138">
        <f>Q142*H142</f>
        <v>0.126048</v>
      </c>
      <c r="S142" s="138">
        <v>0</v>
      </c>
      <c r="T142" s="139">
        <f>S142*H142</f>
        <v>0</v>
      </c>
      <c r="AR142" s="140" t="s">
        <v>185</v>
      </c>
      <c r="AT142" s="140" t="s">
        <v>180</v>
      </c>
      <c r="AU142" s="140" t="s">
        <v>87</v>
      </c>
      <c r="AY142" s="18" t="s">
        <v>177</v>
      </c>
      <c r="BE142" s="141">
        <f>IF(N142="základní",J142,0)</f>
        <v>0</v>
      </c>
      <c r="BF142" s="141">
        <f>IF(N142="snížená",J142,0)</f>
        <v>0</v>
      </c>
      <c r="BG142" s="141">
        <f>IF(N142="zákl. přenesená",J142,0)</f>
        <v>0</v>
      </c>
      <c r="BH142" s="141">
        <f>IF(N142="sníž. přenesená",J142,0)</f>
        <v>0</v>
      </c>
      <c r="BI142" s="141">
        <f>IF(N142="nulová",J142,0)</f>
        <v>0</v>
      </c>
      <c r="BJ142" s="18" t="s">
        <v>85</v>
      </c>
      <c r="BK142" s="141">
        <f>ROUND(I142*H142,2)</f>
        <v>0</v>
      </c>
      <c r="BL142" s="18" t="s">
        <v>185</v>
      </c>
      <c r="BM142" s="140" t="s">
        <v>3136</v>
      </c>
    </row>
    <row r="143" spans="2:47" s="1" customFormat="1" ht="19.5">
      <c r="B143" s="33"/>
      <c r="D143" s="142" t="s">
        <v>187</v>
      </c>
      <c r="F143" s="143" t="s">
        <v>684</v>
      </c>
      <c r="I143" s="144"/>
      <c r="L143" s="33"/>
      <c r="M143" s="145"/>
      <c r="T143" s="54"/>
      <c r="AT143" s="18" t="s">
        <v>187</v>
      </c>
      <c r="AU143" s="18" t="s">
        <v>87</v>
      </c>
    </row>
    <row r="144" spans="2:47" s="1" customFormat="1" ht="11.25">
      <c r="B144" s="33"/>
      <c r="D144" s="146" t="s">
        <v>189</v>
      </c>
      <c r="F144" s="147" t="s">
        <v>685</v>
      </c>
      <c r="I144" s="144"/>
      <c r="L144" s="33"/>
      <c r="M144" s="145"/>
      <c r="T144" s="54"/>
      <c r="AT144" s="18" t="s">
        <v>189</v>
      </c>
      <c r="AU144" s="18" t="s">
        <v>87</v>
      </c>
    </row>
    <row r="145" spans="2:47" s="1" customFormat="1" ht="78">
      <c r="B145" s="33"/>
      <c r="D145" s="142" t="s">
        <v>191</v>
      </c>
      <c r="F145" s="148" t="s">
        <v>336</v>
      </c>
      <c r="I145" s="144"/>
      <c r="L145" s="33"/>
      <c r="M145" s="145"/>
      <c r="T145" s="54"/>
      <c r="AT145" s="18" t="s">
        <v>191</v>
      </c>
      <c r="AU145" s="18" t="s">
        <v>87</v>
      </c>
    </row>
    <row r="146" spans="2:51" s="12" customFormat="1" ht="11.25">
      <c r="B146" s="149"/>
      <c r="D146" s="142" t="s">
        <v>193</v>
      </c>
      <c r="E146" s="150" t="s">
        <v>3</v>
      </c>
      <c r="F146" s="151" t="s">
        <v>338</v>
      </c>
      <c r="H146" s="152">
        <v>657.6</v>
      </c>
      <c r="I146" s="153"/>
      <c r="L146" s="149"/>
      <c r="M146" s="154"/>
      <c r="T146" s="155"/>
      <c r="AT146" s="150" t="s">
        <v>193</v>
      </c>
      <c r="AU146" s="150" t="s">
        <v>87</v>
      </c>
      <c r="AV146" s="12" t="s">
        <v>87</v>
      </c>
      <c r="AW146" s="12" t="s">
        <v>36</v>
      </c>
      <c r="AX146" s="12" t="s">
        <v>77</v>
      </c>
      <c r="AY146" s="150" t="s">
        <v>177</v>
      </c>
    </row>
    <row r="147" spans="2:51" s="12" customFormat="1" ht="11.25">
      <c r="B147" s="149"/>
      <c r="D147" s="142" t="s">
        <v>193</v>
      </c>
      <c r="E147" s="150" t="s">
        <v>3</v>
      </c>
      <c r="F147" s="151" t="s">
        <v>337</v>
      </c>
      <c r="H147" s="152">
        <v>312</v>
      </c>
      <c r="I147" s="153"/>
      <c r="L147" s="149"/>
      <c r="M147" s="154"/>
      <c r="T147" s="155"/>
      <c r="AT147" s="150" t="s">
        <v>193</v>
      </c>
      <c r="AU147" s="150" t="s">
        <v>87</v>
      </c>
      <c r="AV147" s="12" t="s">
        <v>87</v>
      </c>
      <c r="AW147" s="12" t="s">
        <v>36</v>
      </c>
      <c r="AX147" s="12" t="s">
        <v>77</v>
      </c>
      <c r="AY147" s="150" t="s">
        <v>177</v>
      </c>
    </row>
    <row r="148" spans="2:51" s="15" customFormat="1" ht="11.25">
      <c r="B148" s="169"/>
      <c r="D148" s="142" t="s">
        <v>193</v>
      </c>
      <c r="E148" s="170" t="s">
        <v>3</v>
      </c>
      <c r="F148" s="171" t="s">
        <v>201</v>
      </c>
      <c r="H148" s="172">
        <v>969.6</v>
      </c>
      <c r="I148" s="173"/>
      <c r="L148" s="169"/>
      <c r="M148" s="174"/>
      <c r="T148" s="175"/>
      <c r="AT148" s="170" t="s">
        <v>193</v>
      </c>
      <c r="AU148" s="170" t="s">
        <v>87</v>
      </c>
      <c r="AV148" s="15" t="s">
        <v>185</v>
      </c>
      <c r="AW148" s="15" t="s">
        <v>36</v>
      </c>
      <c r="AX148" s="15" t="s">
        <v>85</v>
      </c>
      <c r="AY148" s="170" t="s">
        <v>177</v>
      </c>
    </row>
    <row r="149" spans="2:65" s="1" customFormat="1" ht="24.2" customHeight="1">
      <c r="B149" s="128"/>
      <c r="C149" s="129" t="s">
        <v>241</v>
      </c>
      <c r="D149" s="129" t="s">
        <v>180</v>
      </c>
      <c r="E149" s="130" t="s">
        <v>339</v>
      </c>
      <c r="F149" s="131" t="s">
        <v>340</v>
      </c>
      <c r="G149" s="132" t="s">
        <v>332</v>
      </c>
      <c r="H149" s="133">
        <v>969.6</v>
      </c>
      <c r="I149" s="134"/>
      <c r="J149" s="135">
        <f>ROUND(I149*H149,2)</f>
        <v>0</v>
      </c>
      <c r="K149" s="131" t="s">
        <v>184</v>
      </c>
      <c r="L149" s="33"/>
      <c r="M149" s="136" t="s">
        <v>3</v>
      </c>
      <c r="N149" s="137" t="s">
        <v>48</v>
      </c>
      <c r="P149" s="138">
        <f>O149*H149</f>
        <v>0</v>
      </c>
      <c r="Q149" s="138">
        <v>3.5E-05</v>
      </c>
      <c r="R149" s="138">
        <f>Q149*H149</f>
        <v>0.033936</v>
      </c>
      <c r="S149" s="138">
        <v>0</v>
      </c>
      <c r="T149" s="139">
        <f>S149*H149</f>
        <v>0</v>
      </c>
      <c r="AR149" s="140" t="s">
        <v>185</v>
      </c>
      <c r="AT149" s="140" t="s">
        <v>180</v>
      </c>
      <c r="AU149" s="140" t="s">
        <v>87</v>
      </c>
      <c r="AY149" s="18" t="s">
        <v>177</v>
      </c>
      <c r="BE149" s="141">
        <f>IF(N149="základní",J149,0)</f>
        <v>0</v>
      </c>
      <c r="BF149" s="141">
        <f>IF(N149="snížená",J149,0)</f>
        <v>0</v>
      </c>
      <c r="BG149" s="141">
        <f>IF(N149="zákl. přenesená",J149,0)</f>
        <v>0</v>
      </c>
      <c r="BH149" s="141">
        <f>IF(N149="sníž. přenesená",J149,0)</f>
        <v>0</v>
      </c>
      <c r="BI149" s="141">
        <f>IF(N149="nulová",J149,0)</f>
        <v>0</v>
      </c>
      <c r="BJ149" s="18" t="s">
        <v>85</v>
      </c>
      <c r="BK149" s="141">
        <f>ROUND(I149*H149,2)</f>
        <v>0</v>
      </c>
      <c r="BL149" s="18" t="s">
        <v>185</v>
      </c>
      <c r="BM149" s="140" t="s">
        <v>3137</v>
      </c>
    </row>
    <row r="150" spans="2:47" s="1" customFormat="1" ht="19.5">
      <c r="B150" s="33"/>
      <c r="D150" s="142" t="s">
        <v>187</v>
      </c>
      <c r="F150" s="143" t="s">
        <v>342</v>
      </c>
      <c r="I150" s="144"/>
      <c r="L150" s="33"/>
      <c r="M150" s="145"/>
      <c r="T150" s="54"/>
      <c r="AT150" s="18" t="s">
        <v>187</v>
      </c>
      <c r="AU150" s="18" t="s">
        <v>87</v>
      </c>
    </row>
    <row r="151" spans="2:47" s="1" customFormat="1" ht="11.25">
      <c r="B151" s="33"/>
      <c r="D151" s="146" t="s">
        <v>189</v>
      </c>
      <c r="F151" s="147" t="s">
        <v>343</v>
      </c>
      <c r="I151" s="144"/>
      <c r="L151" s="33"/>
      <c r="M151" s="145"/>
      <c r="T151" s="54"/>
      <c r="AT151" s="18" t="s">
        <v>189</v>
      </c>
      <c r="AU151" s="18" t="s">
        <v>87</v>
      </c>
    </row>
    <row r="152" spans="2:47" s="1" customFormat="1" ht="273">
      <c r="B152" s="33"/>
      <c r="D152" s="142" t="s">
        <v>191</v>
      </c>
      <c r="F152" s="148" t="s">
        <v>344</v>
      </c>
      <c r="I152" s="144"/>
      <c r="L152" s="33"/>
      <c r="M152" s="145"/>
      <c r="T152" s="54"/>
      <c r="AT152" s="18" t="s">
        <v>191</v>
      </c>
      <c r="AU152" s="18" t="s">
        <v>87</v>
      </c>
    </row>
    <row r="153" spans="2:65" s="1" customFormat="1" ht="16.5" customHeight="1">
      <c r="B153" s="128"/>
      <c r="C153" s="129" t="s">
        <v>248</v>
      </c>
      <c r="D153" s="129" t="s">
        <v>180</v>
      </c>
      <c r="E153" s="130" t="s">
        <v>3138</v>
      </c>
      <c r="F153" s="131" t="s">
        <v>3139</v>
      </c>
      <c r="G153" s="132" t="s">
        <v>236</v>
      </c>
      <c r="H153" s="133">
        <v>10</v>
      </c>
      <c r="I153" s="134"/>
      <c r="J153" s="135">
        <f>ROUND(I153*H153,2)</f>
        <v>0</v>
      </c>
      <c r="K153" s="131" t="s">
        <v>184</v>
      </c>
      <c r="L153" s="33"/>
      <c r="M153" s="136" t="s">
        <v>3</v>
      </c>
      <c r="N153" s="137" t="s">
        <v>48</v>
      </c>
      <c r="P153" s="138">
        <f>O153*H153</f>
        <v>0</v>
      </c>
      <c r="Q153" s="138">
        <v>0.000176</v>
      </c>
      <c r="R153" s="138">
        <f>Q153*H153</f>
        <v>0.0017599999999999998</v>
      </c>
      <c r="S153" s="138">
        <v>0</v>
      </c>
      <c r="T153" s="139">
        <f>S153*H153</f>
        <v>0</v>
      </c>
      <c r="AR153" s="140" t="s">
        <v>185</v>
      </c>
      <c r="AT153" s="140" t="s">
        <v>180</v>
      </c>
      <c r="AU153" s="140" t="s">
        <v>87</v>
      </c>
      <c r="AY153" s="18" t="s">
        <v>177</v>
      </c>
      <c r="BE153" s="141">
        <f>IF(N153="základní",J153,0)</f>
        <v>0</v>
      </c>
      <c r="BF153" s="141">
        <f>IF(N153="snížená",J153,0)</f>
        <v>0</v>
      </c>
      <c r="BG153" s="141">
        <f>IF(N153="zákl. přenesená",J153,0)</f>
        <v>0</v>
      </c>
      <c r="BH153" s="141">
        <f>IF(N153="sníž. přenesená",J153,0)</f>
        <v>0</v>
      </c>
      <c r="BI153" s="141">
        <f>IF(N153="nulová",J153,0)</f>
        <v>0</v>
      </c>
      <c r="BJ153" s="18" t="s">
        <v>85</v>
      </c>
      <c r="BK153" s="141">
        <f>ROUND(I153*H153,2)</f>
        <v>0</v>
      </c>
      <c r="BL153" s="18" t="s">
        <v>185</v>
      </c>
      <c r="BM153" s="140" t="s">
        <v>3140</v>
      </c>
    </row>
    <row r="154" spans="2:47" s="1" customFormat="1" ht="19.5">
      <c r="B154" s="33"/>
      <c r="D154" s="142" t="s">
        <v>187</v>
      </c>
      <c r="F154" s="143" t="s">
        <v>3141</v>
      </c>
      <c r="I154" s="144"/>
      <c r="L154" s="33"/>
      <c r="M154" s="145"/>
      <c r="T154" s="54"/>
      <c r="AT154" s="18" t="s">
        <v>187</v>
      </c>
      <c r="AU154" s="18" t="s">
        <v>87</v>
      </c>
    </row>
    <row r="155" spans="2:47" s="1" customFormat="1" ht="11.25">
      <c r="B155" s="33"/>
      <c r="D155" s="146" t="s">
        <v>189</v>
      </c>
      <c r="F155" s="147" t="s">
        <v>3142</v>
      </c>
      <c r="I155" s="144"/>
      <c r="L155" s="33"/>
      <c r="M155" s="145"/>
      <c r="T155" s="54"/>
      <c r="AT155" s="18" t="s">
        <v>189</v>
      </c>
      <c r="AU155" s="18" t="s">
        <v>87</v>
      </c>
    </row>
    <row r="156" spans="2:47" s="1" customFormat="1" ht="97.5">
      <c r="B156" s="33"/>
      <c r="D156" s="142" t="s">
        <v>191</v>
      </c>
      <c r="F156" s="148" t="s">
        <v>3143</v>
      </c>
      <c r="I156" s="144"/>
      <c r="L156" s="33"/>
      <c r="M156" s="145"/>
      <c r="T156" s="54"/>
      <c r="AT156" s="18" t="s">
        <v>191</v>
      </c>
      <c r="AU156" s="18" t="s">
        <v>87</v>
      </c>
    </row>
    <row r="157" spans="2:65" s="1" customFormat="1" ht="16.5" customHeight="1">
      <c r="B157" s="128"/>
      <c r="C157" s="179" t="s">
        <v>252</v>
      </c>
      <c r="D157" s="179" t="s">
        <v>484</v>
      </c>
      <c r="E157" s="180" t="s">
        <v>3144</v>
      </c>
      <c r="F157" s="181" t="s">
        <v>3145</v>
      </c>
      <c r="G157" s="182" t="s">
        <v>236</v>
      </c>
      <c r="H157" s="183">
        <v>10</v>
      </c>
      <c r="I157" s="184"/>
      <c r="J157" s="185">
        <f>ROUND(I157*H157,2)</f>
        <v>0</v>
      </c>
      <c r="K157" s="181" t="s">
        <v>184</v>
      </c>
      <c r="L157" s="186"/>
      <c r="M157" s="187" t="s">
        <v>3</v>
      </c>
      <c r="N157" s="188" t="s">
        <v>48</v>
      </c>
      <c r="P157" s="138">
        <f>O157*H157</f>
        <v>0</v>
      </c>
      <c r="Q157" s="138">
        <v>0.012</v>
      </c>
      <c r="R157" s="138">
        <f>Q157*H157</f>
        <v>0.12</v>
      </c>
      <c r="S157" s="138">
        <v>0</v>
      </c>
      <c r="T157" s="139">
        <f>S157*H157</f>
        <v>0</v>
      </c>
      <c r="AR157" s="140" t="s">
        <v>248</v>
      </c>
      <c r="AT157" s="140" t="s">
        <v>484</v>
      </c>
      <c r="AU157" s="140" t="s">
        <v>87</v>
      </c>
      <c r="AY157" s="18" t="s">
        <v>177</v>
      </c>
      <c r="BE157" s="141">
        <f>IF(N157="základní",J157,0)</f>
        <v>0</v>
      </c>
      <c r="BF157" s="141">
        <f>IF(N157="snížená",J157,0)</f>
        <v>0</v>
      </c>
      <c r="BG157" s="141">
        <f>IF(N157="zákl. přenesená",J157,0)</f>
        <v>0</v>
      </c>
      <c r="BH157" s="141">
        <f>IF(N157="sníž. přenesená",J157,0)</f>
        <v>0</v>
      </c>
      <c r="BI157" s="141">
        <f>IF(N157="nulová",J157,0)</f>
        <v>0</v>
      </c>
      <c r="BJ157" s="18" t="s">
        <v>85</v>
      </c>
      <c r="BK157" s="141">
        <f>ROUND(I157*H157,2)</f>
        <v>0</v>
      </c>
      <c r="BL157" s="18" t="s">
        <v>185</v>
      </c>
      <c r="BM157" s="140" t="s">
        <v>3146</v>
      </c>
    </row>
    <row r="158" spans="2:47" s="1" customFormat="1" ht="11.25">
      <c r="B158" s="33"/>
      <c r="D158" s="142" t="s">
        <v>187</v>
      </c>
      <c r="F158" s="143" t="s">
        <v>3145</v>
      </c>
      <c r="I158" s="144"/>
      <c r="L158" s="33"/>
      <c r="M158" s="145"/>
      <c r="T158" s="54"/>
      <c r="AT158" s="18" t="s">
        <v>187</v>
      </c>
      <c r="AU158" s="18" t="s">
        <v>87</v>
      </c>
    </row>
    <row r="159" spans="2:65" s="1" customFormat="1" ht="16.5" customHeight="1">
      <c r="B159" s="128"/>
      <c r="C159" s="129" t="s">
        <v>258</v>
      </c>
      <c r="D159" s="129" t="s">
        <v>180</v>
      </c>
      <c r="E159" s="130" t="s">
        <v>3147</v>
      </c>
      <c r="F159" s="131" t="s">
        <v>3148</v>
      </c>
      <c r="G159" s="132" t="s">
        <v>236</v>
      </c>
      <c r="H159" s="133">
        <v>10</v>
      </c>
      <c r="I159" s="134"/>
      <c r="J159" s="135">
        <f>ROUND(I159*H159,2)</f>
        <v>0</v>
      </c>
      <c r="K159" s="131" t="s">
        <v>184</v>
      </c>
      <c r="L159" s="33"/>
      <c r="M159" s="136" t="s">
        <v>3</v>
      </c>
      <c r="N159" s="137" t="s">
        <v>48</v>
      </c>
      <c r="P159" s="138">
        <f>O159*H159</f>
        <v>0</v>
      </c>
      <c r="Q159" s="138">
        <v>0.000176</v>
      </c>
      <c r="R159" s="138">
        <f>Q159*H159</f>
        <v>0.0017599999999999998</v>
      </c>
      <c r="S159" s="138">
        <v>0</v>
      </c>
      <c r="T159" s="139">
        <f>S159*H159</f>
        <v>0</v>
      </c>
      <c r="AR159" s="140" t="s">
        <v>185</v>
      </c>
      <c r="AT159" s="140" t="s">
        <v>180</v>
      </c>
      <c r="AU159" s="140" t="s">
        <v>87</v>
      </c>
      <c r="AY159" s="18" t="s">
        <v>177</v>
      </c>
      <c r="BE159" s="141">
        <f>IF(N159="základní",J159,0)</f>
        <v>0</v>
      </c>
      <c r="BF159" s="141">
        <f>IF(N159="snížená",J159,0)</f>
        <v>0</v>
      </c>
      <c r="BG159" s="141">
        <f>IF(N159="zákl. přenesená",J159,0)</f>
        <v>0</v>
      </c>
      <c r="BH159" s="141">
        <f>IF(N159="sníž. přenesená",J159,0)</f>
        <v>0</v>
      </c>
      <c r="BI159" s="141">
        <f>IF(N159="nulová",J159,0)</f>
        <v>0</v>
      </c>
      <c r="BJ159" s="18" t="s">
        <v>85</v>
      </c>
      <c r="BK159" s="141">
        <f>ROUND(I159*H159,2)</f>
        <v>0</v>
      </c>
      <c r="BL159" s="18" t="s">
        <v>185</v>
      </c>
      <c r="BM159" s="140" t="s">
        <v>3149</v>
      </c>
    </row>
    <row r="160" spans="2:47" s="1" customFormat="1" ht="19.5">
      <c r="B160" s="33"/>
      <c r="D160" s="142" t="s">
        <v>187</v>
      </c>
      <c r="F160" s="143" t="s">
        <v>3150</v>
      </c>
      <c r="I160" s="144"/>
      <c r="L160" s="33"/>
      <c r="M160" s="145"/>
      <c r="T160" s="54"/>
      <c r="AT160" s="18" t="s">
        <v>187</v>
      </c>
      <c r="AU160" s="18" t="s">
        <v>87</v>
      </c>
    </row>
    <row r="161" spans="2:47" s="1" customFormat="1" ht="11.25">
      <c r="B161" s="33"/>
      <c r="D161" s="146" t="s">
        <v>189</v>
      </c>
      <c r="F161" s="147" t="s">
        <v>3151</v>
      </c>
      <c r="I161" s="144"/>
      <c r="L161" s="33"/>
      <c r="M161" s="145"/>
      <c r="T161" s="54"/>
      <c r="AT161" s="18" t="s">
        <v>189</v>
      </c>
      <c r="AU161" s="18" t="s">
        <v>87</v>
      </c>
    </row>
    <row r="162" spans="2:47" s="1" customFormat="1" ht="97.5">
      <c r="B162" s="33"/>
      <c r="D162" s="142" t="s">
        <v>191</v>
      </c>
      <c r="F162" s="148" t="s">
        <v>3143</v>
      </c>
      <c r="I162" s="144"/>
      <c r="L162" s="33"/>
      <c r="M162" s="145"/>
      <c r="T162" s="54"/>
      <c r="AT162" s="18" t="s">
        <v>191</v>
      </c>
      <c r="AU162" s="18" t="s">
        <v>87</v>
      </c>
    </row>
    <row r="163" spans="2:65" s="1" customFormat="1" ht="16.5" customHeight="1">
      <c r="B163" s="128"/>
      <c r="C163" s="179" t="s">
        <v>265</v>
      </c>
      <c r="D163" s="179" t="s">
        <v>484</v>
      </c>
      <c r="E163" s="180" t="s">
        <v>3152</v>
      </c>
      <c r="F163" s="181" t="s">
        <v>3153</v>
      </c>
      <c r="G163" s="182" t="s">
        <v>236</v>
      </c>
      <c r="H163" s="183">
        <v>10</v>
      </c>
      <c r="I163" s="184"/>
      <c r="J163" s="185">
        <f>ROUND(I163*H163,2)</f>
        <v>0</v>
      </c>
      <c r="K163" s="181" t="s">
        <v>184</v>
      </c>
      <c r="L163" s="186"/>
      <c r="M163" s="187" t="s">
        <v>3</v>
      </c>
      <c r="N163" s="188" t="s">
        <v>48</v>
      </c>
      <c r="P163" s="138">
        <f>O163*H163</f>
        <v>0</v>
      </c>
      <c r="Q163" s="138">
        <v>0.005</v>
      </c>
      <c r="R163" s="138">
        <f>Q163*H163</f>
        <v>0.05</v>
      </c>
      <c r="S163" s="138">
        <v>0</v>
      </c>
      <c r="T163" s="139">
        <f>S163*H163</f>
        <v>0</v>
      </c>
      <c r="AR163" s="140" t="s">
        <v>248</v>
      </c>
      <c r="AT163" s="140" t="s">
        <v>484</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3154</v>
      </c>
    </row>
    <row r="164" spans="2:47" s="1" customFormat="1" ht="11.25">
      <c r="B164" s="33"/>
      <c r="D164" s="142" t="s">
        <v>187</v>
      </c>
      <c r="F164" s="143" t="s">
        <v>3153</v>
      </c>
      <c r="I164" s="144"/>
      <c r="L164" s="33"/>
      <c r="M164" s="145"/>
      <c r="T164" s="54"/>
      <c r="AT164" s="18" t="s">
        <v>187</v>
      </c>
      <c r="AU164" s="18" t="s">
        <v>87</v>
      </c>
    </row>
    <row r="165" spans="2:65" s="1" customFormat="1" ht="16.5" customHeight="1">
      <c r="B165" s="128"/>
      <c r="C165" s="129" t="s">
        <v>271</v>
      </c>
      <c r="D165" s="129" t="s">
        <v>180</v>
      </c>
      <c r="E165" s="130" t="s">
        <v>3155</v>
      </c>
      <c r="F165" s="131" t="s">
        <v>3156</v>
      </c>
      <c r="G165" s="132" t="s">
        <v>243</v>
      </c>
      <c r="H165" s="133">
        <v>1</v>
      </c>
      <c r="I165" s="134"/>
      <c r="J165" s="135">
        <f>ROUND(I165*H165,2)</f>
        <v>0</v>
      </c>
      <c r="K165" s="131" t="s">
        <v>244</v>
      </c>
      <c r="L165" s="33"/>
      <c r="M165" s="136" t="s">
        <v>3</v>
      </c>
      <c r="N165" s="137" t="s">
        <v>48</v>
      </c>
      <c r="P165" s="138">
        <f>O165*H165</f>
        <v>0</v>
      </c>
      <c r="Q165" s="138">
        <v>0</v>
      </c>
      <c r="R165" s="138">
        <f>Q165*H165</f>
        <v>0</v>
      </c>
      <c r="S165" s="138">
        <v>0</v>
      </c>
      <c r="T165" s="139">
        <f>S165*H165</f>
        <v>0</v>
      </c>
      <c r="AR165" s="140" t="s">
        <v>185</v>
      </c>
      <c r="AT165" s="140" t="s">
        <v>180</v>
      </c>
      <c r="AU165" s="140" t="s">
        <v>87</v>
      </c>
      <c r="AY165" s="18" t="s">
        <v>177</v>
      </c>
      <c r="BE165" s="141">
        <f>IF(N165="základní",J165,0)</f>
        <v>0</v>
      </c>
      <c r="BF165" s="141">
        <f>IF(N165="snížená",J165,0)</f>
        <v>0</v>
      </c>
      <c r="BG165" s="141">
        <f>IF(N165="zákl. přenesená",J165,0)</f>
        <v>0</v>
      </c>
      <c r="BH165" s="141">
        <f>IF(N165="sníž. přenesená",J165,0)</f>
        <v>0</v>
      </c>
      <c r="BI165" s="141">
        <f>IF(N165="nulová",J165,0)</f>
        <v>0</v>
      </c>
      <c r="BJ165" s="18" t="s">
        <v>85</v>
      </c>
      <c r="BK165" s="141">
        <f>ROUND(I165*H165,2)</f>
        <v>0</v>
      </c>
      <c r="BL165" s="18" t="s">
        <v>185</v>
      </c>
      <c r="BM165" s="140" t="s">
        <v>3157</v>
      </c>
    </row>
    <row r="166" spans="2:47" s="1" customFormat="1" ht="11.25">
      <c r="B166" s="33"/>
      <c r="D166" s="142" t="s">
        <v>187</v>
      </c>
      <c r="F166" s="143" t="s">
        <v>3156</v>
      </c>
      <c r="I166" s="144"/>
      <c r="L166" s="33"/>
      <c r="M166" s="145"/>
      <c r="T166" s="54"/>
      <c r="AT166" s="18" t="s">
        <v>187</v>
      </c>
      <c r="AU166" s="18" t="s">
        <v>87</v>
      </c>
    </row>
    <row r="167" spans="2:63" s="11" customFormat="1" ht="22.9" customHeight="1">
      <c r="B167" s="116"/>
      <c r="D167" s="117" t="s">
        <v>76</v>
      </c>
      <c r="E167" s="126" t="s">
        <v>518</v>
      </c>
      <c r="F167" s="126" t="s">
        <v>519</v>
      </c>
      <c r="I167" s="119"/>
      <c r="J167" s="127">
        <f>BK167</f>
        <v>0</v>
      </c>
      <c r="L167" s="116"/>
      <c r="M167" s="121"/>
      <c r="P167" s="122">
        <f>SUM(P168:P171)</f>
        <v>0</v>
      </c>
      <c r="R167" s="122">
        <f>SUM(R168:R171)</f>
        <v>0</v>
      </c>
      <c r="T167" s="123">
        <f>SUM(T168:T171)</f>
        <v>0</v>
      </c>
      <c r="AR167" s="117" t="s">
        <v>85</v>
      </c>
      <c r="AT167" s="124" t="s">
        <v>76</v>
      </c>
      <c r="AU167" s="124" t="s">
        <v>85</v>
      </c>
      <c r="AY167" s="117" t="s">
        <v>177</v>
      </c>
      <c r="BK167" s="125">
        <f>SUM(BK168:BK171)</f>
        <v>0</v>
      </c>
    </row>
    <row r="168" spans="2:65" s="1" customFormat="1" ht="21.75" customHeight="1">
      <c r="B168" s="128"/>
      <c r="C168" s="129" t="s">
        <v>277</v>
      </c>
      <c r="D168" s="129" t="s">
        <v>180</v>
      </c>
      <c r="E168" s="130" t="s">
        <v>521</v>
      </c>
      <c r="F168" s="131" t="s">
        <v>522</v>
      </c>
      <c r="G168" s="132" t="s">
        <v>183</v>
      </c>
      <c r="H168" s="133">
        <v>1.073</v>
      </c>
      <c r="I168" s="134"/>
      <c r="J168" s="135">
        <f>ROUND(I168*H168,2)</f>
        <v>0</v>
      </c>
      <c r="K168" s="131" t="s">
        <v>184</v>
      </c>
      <c r="L168" s="33"/>
      <c r="M168" s="136" t="s">
        <v>3</v>
      </c>
      <c r="N168" s="137" t="s">
        <v>48</v>
      </c>
      <c r="P168" s="138">
        <f>O168*H168</f>
        <v>0</v>
      </c>
      <c r="Q168" s="138">
        <v>0</v>
      </c>
      <c r="R168" s="138">
        <f>Q168*H168</f>
        <v>0</v>
      </c>
      <c r="S168" s="138">
        <v>0</v>
      </c>
      <c r="T168" s="139">
        <f>S168*H168</f>
        <v>0</v>
      </c>
      <c r="AR168" s="140" t="s">
        <v>185</v>
      </c>
      <c r="AT168" s="140" t="s">
        <v>180</v>
      </c>
      <c r="AU168" s="140" t="s">
        <v>87</v>
      </c>
      <c r="AY168" s="18" t="s">
        <v>177</v>
      </c>
      <c r="BE168" s="141">
        <f>IF(N168="základní",J168,0)</f>
        <v>0</v>
      </c>
      <c r="BF168" s="141">
        <f>IF(N168="snížená",J168,0)</f>
        <v>0</v>
      </c>
      <c r="BG168" s="141">
        <f>IF(N168="zákl. přenesená",J168,0)</f>
        <v>0</v>
      </c>
      <c r="BH168" s="141">
        <f>IF(N168="sníž. přenesená",J168,0)</f>
        <v>0</v>
      </c>
      <c r="BI168" s="141">
        <f>IF(N168="nulová",J168,0)</f>
        <v>0</v>
      </c>
      <c r="BJ168" s="18" t="s">
        <v>85</v>
      </c>
      <c r="BK168" s="141">
        <f>ROUND(I168*H168,2)</f>
        <v>0</v>
      </c>
      <c r="BL168" s="18" t="s">
        <v>185</v>
      </c>
      <c r="BM168" s="140" t="s">
        <v>3158</v>
      </c>
    </row>
    <row r="169" spans="2:47" s="1" customFormat="1" ht="39">
      <c r="B169" s="33"/>
      <c r="D169" s="142" t="s">
        <v>187</v>
      </c>
      <c r="F169" s="143" t="s">
        <v>524</v>
      </c>
      <c r="I169" s="144"/>
      <c r="L169" s="33"/>
      <c r="M169" s="145"/>
      <c r="T169" s="54"/>
      <c r="AT169" s="18" t="s">
        <v>187</v>
      </c>
      <c r="AU169" s="18" t="s">
        <v>87</v>
      </c>
    </row>
    <row r="170" spans="2:47" s="1" customFormat="1" ht="11.25">
      <c r="B170" s="33"/>
      <c r="D170" s="146" t="s">
        <v>189</v>
      </c>
      <c r="F170" s="147" t="s">
        <v>525</v>
      </c>
      <c r="I170" s="144"/>
      <c r="L170" s="33"/>
      <c r="M170" s="145"/>
      <c r="T170" s="54"/>
      <c r="AT170" s="18" t="s">
        <v>189</v>
      </c>
      <c r="AU170" s="18" t="s">
        <v>87</v>
      </c>
    </row>
    <row r="171" spans="2:47" s="1" customFormat="1" ht="87.75">
      <c r="B171" s="33"/>
      <c r="D171" s="142" t="s">
        <v>191</v>
      </c>
      <c r="F171" s="148" t="s">
        <v>526</v>
      </c>
      <c r="I171" s="144"/>
      <c r="L171" s="33"/>
      <c r="M171" s="145"/>
      <c r="T171" s="54"/>
      <c r="AT171" s="18" t="s">
        <v>191</v>
      </c>
      <c r="AU171" s="18" t="s">
        <v>87</v>
      </c>
    </row>
    <row r="172" spans="2:63" s="11" customFormat="1" ht="25.9" customHeight="1">
      <c r="B172" s="116"/>
      <c r="D172" s="117" t="s">
        <v>76</v>
      </c>
      <c r="E172" s="118" t="s">
        <v>229</v>
      </c>
      <c r="F172" s="118" t="s">
        <v>230</v>
      </c>
      <c r="I172" s="119"/>
      <c r="J172" s="120">
        <f>BK172</f>
        <v>0</v>
      </c>
      <c r="L172" s="116"/>
      <c r="M172" s="121"/>
      <c r="P172" s="122">
        <f>P173+P192+P233+P322+P370+P448+P506+P591+P622+P670</f>
        <v>0</v>
      </c>
      <c r="R172" s="122">
        <f>R173+R192+R233+R322+R370+R448+R506+R591+R622+R670</f>
        <v>17.79895008781</v>
      </c>
      <c r="T172" s="123">
        <f>T173+T192+T233+T322+T370+T448+T506+T591+T622+T670</f>
        <v>0</v>
      </c>
      <c r="AR172" s="117" t="s">
        <v>87</v>
      </c>
      <c r="AT172" s="124" t="s">
        <v>76</v>
      </c>
      <c r="AU172" s="124" t="s">
        <v>77</v>
      </c>
      <c r="AY172" s="117" t="s">
        <v>177</v>
      </c>
      <c r="BK172" s="125">
        <f>BK173+BK192+BK233+BK322+BK370+BK448+BK506+BK591+BK622+BK670</f>
        <v>0</v>
      </c>
    </row>
    <row r="173" spans="2:63" s="11" customFormat="1" ht="22.9" customHeight="1">
      <c r="B173" s="116"/>
      <c r="D173" s="117" t="s">
        <v>76</v>
      </c>
      <c r="E173" s="126" t="s">
        <v>3159</v>
      </c>
      <c r="F173" s="126" t="s">
        <v>3160</v>
      </c>
      <c r="I173" s="119"/>
      <c r="J173" s="127">
        <f>BK173</f>
        <v>0</v>
      </c>
      <c r="L173" s="116"/>
      <c r="M173" s="121"/>
      <c r="P173" s="122">
        <f>SUM(P174:P191)</f>
        <v>0</v>
      </c>
      <c r="R173" s="122">
        <f>SUM(R174:R191)</f>
        <v>3.0246849000000005</v>
      </c>
      <c r="T173" s="123">
        <f>SUM(T174:T191)</f>
        <v>0</v>
      </c>
      <c r="AR173" s="117" t="s">
        <v>87</v>
      </c>
      <c r="AT173" s="124" t="s">
        <v>76</v>
      </c>
      <c r="AU173" s="124" t="s">
        <v>85</v>
      </c>
      <c r="AY173" s="117" t="s">
        <v>177</v>
      </c>
      <c r="BK173" s="125">
        <f>SUM(BK174:BK191)</f>
        <v>0</v>
      </c>
    </row>
    <row r="174" spans="2:65" s="1" customFormat="1" ht="24.2" customHeight="1">
      <c r="B174" s="128"/>
      <c r="C174" s="129" t="s">
        <v>283</v>
      </c>
      <c r="D174" s="129" t="s">
        <v>180</v>
      </c>
      <c r="E174" s="130" t="s">
        <v>3161</v>
      </c>
      <c r="F174" s="131" t="s">
        <v>3162</v>
      </c>
      <c r="G174" s="132" t="s">
        <v>332</v>
      </c>
      <c r="H174" s="133">
        <v>491.1</v>
      </c>
      <c r="I174" s="134"/>
      <c r="J174" s="135">
        <f>ROUND(I174*H174,2)</f>
        <v>0</v>
      </c>
      <c r="K174" s="131" t="s">
        <v>184</v>
      </c>
      <c r="L174" s="33"/>
      <c r="M174" s="136" t="s">
        <v>3</v>
      </c>
      <c r="N174" s="137" t="s">
        <v>48</v>
      </c>
      <c r="P174" s="138">
        <f>O174*H174</f>
        <v>0</v>
      </c>
      <c r="Q174" s="138">
        <v>0.001319</v>
      </c>
      <c r="R174" s="138">
        <f>Q174*H174</f>
        <v>0.6477609000000001</v>
      </c>
      <c r="S174" s="138">
        <v>0</v>
      </c>
      <c r="T174" s="139">
        <f>S174*H174</f>
        <v>0</v>
      </c>
      <c r="AR174" s="140" t="s">
        <v>237</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237</v>
      </c>
      <c r="BM174" s="140" t="s">
        <v>3163</v>
      </c>
    </row>
    <row r="175" spans="2:47" s="1" customFormat="1" ht="19.5">
      <c r="B175" s="33"/>
      <c r="D175" s="142" t="s">
        <v>187</v>
      </c>
      <c r="F175" s="143" t="s">
        <v>3164</v>
      </c>
      <c r="I175" s="144"/>
      <c r="L175" s="33"/>
      <c r="M175" s="145"/>
      <c r="T175" s="54"/>
      <c r="AT175" s="18" t="s">
        <v>187</v>
      </c>
      <c r="AU175" s="18" t="s">
        <v>87</v>
      </c>
    </row>
    <row r="176" spans="2:47" s="1" customFormat="1" ht="11.25">
      <c r="B176" s="33"/>
      <c r="D176" s="146" t="s">
        <v>189</v>
      </c>
      <c r="F176" s="147" t="s">
        <v>3165</v>
      </c>
      <c r="I176" s="144"/>
      <c r="L176" s="33"/>
      <c r="M176" s="145"/>
      <c r="T176" s="54"/>
      <c r="AT176" s="18" t="s">
        <v>189</v>
      </c>
      <c r="AU176" s="18" t="s">
        <v>87</v>
      </c>
    </row>
    <row r="177" spans="2:47" s="1" customFormat="1" ht="146.25">
      <c r="B177" s="33"/>
      <c r="D177" s="142" t="s">
        <v>191</v>
      </c>
      <c r="F177" s="148" t="s">
        <v>3166</v>
      </c>
      <c r="I177" s="144"/>
      <c r="L177" s="33"/>
      <c r="M177" s="145"/>
      <c r="T177" s="54"/>
      <c r="AT177" s="18" t="s">
        <v>191</v>
      </c>
      <c r="AU177" s="18" t="s">
        <v>87</v>
      </c>
    </row>
    <row r="178" spans="2:51" s="12" customFormat="1" ht="11.25">
      <c r="B178" s="149"/>
      <c r="D178" s="142" t="s">
        <v>193</v>
      </c>
      <c r="E178" s="150" t="s">
        <v>3</v>
      </c>
      <c r="F178" s="151" t="s">
        <v>3167</v>
      </c>
      <c r="H178" s="152">
        <v>216.2</v>
      </c>
      <c r="I178" s="153"/>
      <c r="L178" s="149"/>
      <c r="M178" s="154"/>
      <c r="T178" s="155"/>
      <c r="AT178" s="150" t="s">
        <v>193</v>
      </c>
      <c r="AU178" s="150" t="s">
        <v>87</v>
      </c>
      <c r="AV178" s="12" t="s">
        <v>87</v>
      </c>
      <c r="AW178" s="12" t="s">
        <v>36</v>
      </c>
      <c r="AX178" s="12" t="s">
        <v>77</v>
      </c>
      <c r="AY178" s="150" t="s">
        <v>177</v>
      </c>
    </row>
    <row r="179" spans="2:51" s="12" customFormat="1" ht="11.25">
      <c r="B179" s="149"/>
      <c r="D179" s="142" t="s">
        <v>193</v>
      </c>
      <c r="E179" s="150" t="s">
        <v>3</v>
      </c>
      <c r="F179" s="151" t="s">
        <v>3168</v>
      </c>
      <c r="H179" s="152">
        <v>274.9</v>
      </c>
      <c r="I179" s="153"/>
      <c r="L179" s="149"/>
      <c r="M179" s="154"/>
      <c r="T179" s="155"/>
      <c r="AT179" s="150" t="s">
        <v>193</v>
      </c>
      <c r="AU179" s="150" t="s">
        <v>87</v>
      </c>
      <c r="AV179" s="12" t="s">
        <v>87</v>
      </c>
      <c r="AW179" s="12" t="s">
        <v>36</v>
      </c>
      <c r="AX179" s="12" t="s">
        <v>77</v>
      </c>
      <c r="AY179" s="150" t="s">
        <v>177</v>
      </c>
    </row>
    <row r="180" spans="2:51" s="15" customFormat="1" ht="11.25">
      <c r="B180" s="169"/>
      <c r="D180" s="142" t="s">
        <v>193</v>
      </c>
      <c r="E180" s="170" t="s">
        <v>3</v>
      </c>
      <c r="F180" s="171" t="s">
        <v>201</v>
      </c>
      <c r="H180" s="172">
        <v>491.1</v>
      </c>
      <c r="I180" s="173"/>
      <c r="L180" s="169"/>
      <c r="M180" s="174"/>
      <c r="T180" s="175"/>
      <c r="AT180" s="170" t="s">
        <v>193</v>
      </c>
      <c r="AU180" s="170" t="s">
        <v>87</v>
      </c>
      <c r="AV180" s="15" t="s">
        <v>185</v>
      </c>
      <c r="AW180" s="15" t="s">
        <v>36</v>
      </c>
      <c r="AX180" s="15" t="s">
        <v>85</v>
      </c>
      <c r="AY180" s="170" t="s">
        <v>177</v>
      </c>
    </row>
    <row r="181" spans="2:65" s="1" customFormat="1" ht="24.2" customHeight="1">
      <c r="B181" s="128"/>
      <c r="C181" s="179" t="s">
        <v>9</v>
      </c>
      <c r="D181" s="179" t="s">
        <v>484</v>
      </c>
      <c r="E181" s="180" t="s">
        <v>3169</v>
      </c>
      <c r="F181" s="181" t="s">
        <v>3170</v>
      </c>
      <c r="G181" s="182" t="s">
        <v>332</v>
      </c>
      <c r="H181" s="183">
        <v>540.21</v>
      </c>
      <c r="I181" s="184"/>
      <c r="J181" s="185">
        <f>ROUND(I181*H181,2)</f>
        <v>0</v>
      </c>
      <c r="K181" s="181" t="s">
        <v>184</v>
      </c>
      <c r="L181" s="186"/>
      <c r="M181" s="187" t="s">
        <v>3</v>
      </c>
      <c r="N181" s="188" t="s">
        <v>48</v>
      </c>
      <c r="P181" s="138">
        <f>O181*H181</f>
        <v>0</v>
      </c>
      <c r="Q181" s="138">
        <v>0.0044</v>
      </c>
      <c r="R181" s="138">
        <f>Q181*H181</f>
        <v>2.3769240000000003</v>
      </c>
      <c r="S181" s="138">
        <v>0</v>
      </c>
      <c r="T181" s="139">
        <f>S181*H181</f>
        <v>0</v>
      </c>
      <c r="AR181" s="140" t="s">
        <v>537</v>
      </c>
      <c r="AT181" s="140" t="s">
        <v>484</v>
      </c>
      <c r="AU181" s="140" t="s">
        <v>87</v>
      </c>
      <c r="AY181" s="18" t="s">
        <v>177</v>
      </c>
      <c r="BE181" s="141">
        <f>IF(N181="základní",J181,0)</f>
        <v>0</v>
      </c>
      <c r="BF181" s="141">
        <f>IF(N181="snížená",J181,0)</f>
        <v>0</v>
      </c>
      <c r="BG181" s="141">
        <f>IF(N181="zákl. přenesená",J181,0)</f>
        <v>0</v>
      </c>
      <c r="BH181" s="141">
        <f>IF(N181="sníž. přenesená",J181,0)</f>
        <v>0</v>
      </c>
      <c r="BI181" s="141">
        <f>IF(N181="nulová",J181,0)</f>
        <v>0</v>
      </c>
      <c r="BJ181" s="18" t="s">
        <v>85</v>
      </c>
      <c r="BK181" s="141">
        <f>ROUND(I181*H181,2)</f>
        <v>0</v>
      </c>
      <c r="BL181" s="18" t="s">
        <v>237</v>
      </c>
      <c r="BM181" s="140" t="s">
        <v>3171</v>
      </c>
    </row>
    <row r="182" spans="2:47" s="1" customFormat="1" ht="11.25">
      <c r="B182" s="33"/>
      <c r="D182" s="142" t="s">
        <v>187</v>
      </c>
      <c r="F182" s="143" t="s">
        <v>3170</v>
      </c>
      <c r="I182" s="144"/>
      <c r="L182" s="33"/>
      <c r="M182" s="145"/>
      <c r="T182" s="54"/>
      <c r="AT182" s="18" t="s">
        <v>187</v>
      </c>
      <c r="AU182" s="18" t="s">
        <v>87</v>
      </c>
    </row>
    <row r="183" spans="2:51" s="12" customFormat="1" ht="11.25">
      <c r="B183" s="149"/>
      <c r="D183" s="142" t="s">
        <v>193</v>
      </c>
      <c r="F183" s="151" t="s">
        <v>3172</v>
      </c>
      <c r="H183" s="152">
        <v>540.21</v>
      </c>
      <c r="I183" s="153"/>
      <c r="L183" s="149"/>
      <c r="M183" s="154"/>
      <c r="T183" s="155"/>
      <c r="AT183" s="150" t="s">
        <v>193</v>
      </c>
      <c r="AU183" s="150" t="s">
        <v>87</v>
      </c>
      <c r="AV183" s="12" t="s">
        <v>87</v>
      </c>
      <c r="AW183" s="12" t="s">
        <v>4</v>
      </c>
      <c r="AX183" s="12" t="s">
        <v>85</v>
      </c>
      <c r="AY183" s="150" t="s">
        <v>177</v>
      </c>
    </row>
    <row r="184" spans="2:65" s="1" customFormat="1" ht="24.2" customHeight="1">
      <c r="B184" s="128"/>
      <c r="C184" s="129" t="s">
        <v>237</v>
      </c>
      <c r="D184" s="129" t="s">
        <v>180</v>
      </c>
      <c r="E184" s="130" t="s">
        <v>3173</v>
      </c>
      <c r="F184" s="131" t="s">
        <v>3174</v>
      </c>
      <c r="G184" s="132" t="s">
        <v>183</v>
      </c>
      <c r="H184" s="133">
        <v>3.025</v>
      </c>
      <c r="I184" s="134"/>
      <c r="J184" s="135">
        <f>ROUND(I184*H184,2)</f>
        <v>0</v>
      </c>
      <c r="K184" s="131" t="s">
        <v>184</v>
      </c>
      <c r="L184" s="33"/>
      <c r="M184" s="136" t="s">
        <v>3</v>
      </c>
      <c r="N184" s="137" t="s">
        <v>48</v>
      </c>
      <c r="P184" s="138">
        <f>O184*H184</f>
        <v>0</v>
      </c>
      <c r="Q184" s="138">
        <v>0</v>
      </c>
      <c r="R184" s="138">
        <f>Q184*H184</f>
        <v>0</v>
      </c>
      <c r="S184" s="138">
        <v>0</v>
      </c>
      <c r="T184" s="139">
        <f>S184*H184</f>
        <v>0</v>
      </c>
      <c r="AR184" s="140" t="s">
        <v>237</v>
      </c>
      <c r="AT184" s="140" t="s">
        <v>180</v>
      </c>
      <c r="AU184" s="140" t="s">
        <v>87</v>
      </c>
      <c r="AY184" s="18" t="s">
        <v>177</v>
      </c>
      <c r="BE184" s="141">
        <f>IF(N184="základní",J184,0)</f>
        <v>0</v>
      </c>
      <c r="BF184" s="141">
        <f>IF(N184="snížená",J184,0)</f>
        <v>0</v>
      </c>
      <c r="BG184" s="141">
        <f>IF(N184="zákl. přenesená",J184,0)</f>
        <v>0</v>
      </c>
      <c r="BH184" s="141">
        <f>IF(N184="sníž. přenesená",J184,0)</f>
        <v>0</v>
      </c>
      <c r="BI184" s="141">
        <f>IF(N184="nulová",J184,0)</f>
        <v>0</v>
      </c>
      <c r="BJ184" s="18" t="s">
        <v>85</v>
      </c>
      <c r="BK184" s="141">
        <f>ROUND(I184*H184,2)</f>
        <v>0</v>
      </c>
      <c r="BL184" s="18" t="s">
        <v>237</v>
      </c>
      <c r="BM184" s="140" t="s">
        <v>3175</v>
      </c>
    </row>
    <row r="185" spans="2:47" s="1" customFormat="1" ht="29.25">
      <c r="B185" s="33"/>
      <c r="D185" s="142" t="s">
        <v>187</v>
      </c>
      <c r="F185" s="143" t="s">
        <v>3176</v>
      </c>
      <c r="I185" s="144"/>
      <c r="L185" s="33"/>
      <c r="M185" s="145"/>
      <c r="T185" s="54"/>
      <c r="AT185" s="18" t="s">
        <v>187</v>
      </c>
      <c r="AU185" s="18" t="s">
        <v>87</v>
      </c>
    </row>
    <row r="186" spans="2:47" s="1" customFormat="1" ht="11.25">
      <c r="B186" s="33"/>
      <c r="D186" s="146" t="s">
        <v>189</v>
      </c>
      <c r="F186" s="147" t="s">
        <v>3177</v>
      </c>
      <c r="I186" s="144"/>
      <c r="L186" s="33"/>
      <c r="M186" s="145"/>
      <c r="T186" s="54"/>
      <c r="AT186" s="18" t="s">
        <v>189</v>
      </c>
      <c r="AU186" s="18" t="s">
        <v>87</v>
      </c>
    </row>
    <row r="187" spans="2:47" s="1" customFormat="1" ht="126.75">
      <c r="B187" s="33"/>
      <c r="D187" s="142" t="s">
        <v>191</v>
      </c>
      <c r="F187" s="148" t="s">
        <v>2906</v>
      </c>
      <c r="I187" s="144"/>
      <c r="L187" s="33"/>
      <c r="M187" s="145"/>
      <c r="T187" s="54"/>
      <c r="AT187" s="18" t="s">
        <v>191</v>
      </c>
      <c r="AU187" s="18" t="s">
        <v>87</v>
      </c>
    </row>
    <row r="188" spans="2:65" s="1" customFormat="1" ht="24.2" customHeight="1">
      <c r="B188" s="128"/>
      <c r="C188" s="129" t="s">
        <v>302</v>
      </c>
      <c r="D188" s="129" t="s">
        <v>180</v>
      </c>
      <c r="E188" s="130" t="s">
        <v>3178</v>
      </c>
      <c r="F188" s="131" t="s">
        <v>3179</v>
      </c>
      <c r="G188" s="132" t="s">
        <v>183</v>
      </c>
      <c r="H188" s="133">
        <v>3.025</v>
      </c>
      <c r="I188" s="134"/>
      <c r="J188" s="135">
        <f>ROUND(I188*H188,2)</f>
        <v>0</v>
      </c>
      <c r="K188" s="131" t="s">
        <v>184</v>
      </c>
      <c r="L188" s="33"/>
      <c r="M188" s="136" t="s">
        <v>3</v>
      </c>
      <c r="N188" s="137" t="s">
        <v>48</v>
      </c>
      <c r="P188" s="138">
        <f>O188*H188</f>
        <v>0</v>
      </c>
      <c r="Q188" s="138">
        <v>0</v>
      </c>
      <c r="R188" s="138">
        <f>Q188*H188</f>
        <v>0</v>
      </c>
      <c r="S188" s="138">
        <v>0</v>
      </c>
      <c r="T188" s="139">
        <f>S188*H188</f>
        <v>0</v>
      </c>
      <c r="AR188" s="140" t="s">
        <v>237</v>
      </c>
      <c r="AT188" s="140" t="s">
        <v>180</v>
      </c>
      <c r="AU188" s="140" t="s">
        <v>87</v>
      </c>
      <c r="AY188" s="18" t="s">
        <v>177</v>
      </c>
      <c r="BE188" s="141">
        <f>IF(N188="základní",J188,0)</f>
        <v>0</v>
      </c>
      <c r="BF188" s="141">
        <f>IF(N188="snížená",J188,0)</f>
        <v>0</v>
      </c>
      <c r="BG188" s="141">
        <f>IF(N188="zákl. přenesená",J188,0)</f>
        <v>0</v>
      </c>
      <c r="BH188" s="141">
        <f>IF(N188="sníž. přenesená",J188,0)</f>
        <v>0</v>
      </c>
      <c r="BI188" s="141">
        <f>IF(N188="nulová",J188,0)</f>
        <v>0</v>
      </c>
      <c r="BJ188" s="18" t="s">
        <v>85</v>
      </c>
      <c r="BK188" s="141">
        <f>ROUND(I188*H188,2)</f>
        <v>0</v>
      </c>
      <c r="BL188" s="18" t="s">
        <v>237</v>
      </c>
      <c r="BM188" s="140" t="s">
        <v>3180</v>
      </c>
    </row>
    <row r="189" spans="2:47" s="1" customFormat="1" ht="29.25">
      <c r="B189" s="33"/>
      <c r="D189" s="142" t="s">
        <v>187</v>
      </c>
      <c r="F189" s="143" t="s">
        <v>3181</v>
      </c>
      <c r="I189" s="144"/>
      <c r="L189" s="33"/>
      <c r="M189" s="145"/>
      <c r="T189" s="54"/>
      <c r="AT189" s="18" t="s">
        <v>187</v>
      </c>
      <c r="AU189" s="18" t="s">
        <v>87</v>
      </c>
    </row>
    <row r="190" spans="2:47" s="1" customFormat="1" ht="11.25">
      <c r="B190" s="33"/>
      <c r="D190" s="146" t="s">
        <v>189</v>
      </c>
      <c r="F190" s="147" t="s">
        <v>3182</v>
      </c>
      <c r="I190" s="144"/>
      <c r="L190" s="33"/>
      <c r="M190" s="145"/>
      <c r="T190" s="54"/>
      <c r="AT190" s="18" t="s">
        <v>189</v>
      </c>
      <c r="AU190" s="18" t="s">
        <v>87</v>
      </c>
    </row>
    <row r="191" spans="2:47" s="1" customFormat="1" ht="126.75">
      <c r="B191" s="33"/>
      <c r="D191" s="142" t="s">
        <v>191</v>
      </c>
      <c r="F191" s="148" t="s">
        <v>2906</v>
      </c>
      <c r="I191" s="144"/>
      <c r="L191" s="33"/>
      <c r="M191" s="145"/>
      <c r="T191" s="54"/>
      <c r="AT191" s="18" t="s">
        <v>191</v>
      </c>
      <c r="AU191" s="18" t="s">
        <v>87</v>
      </c>
    </row>
    <row r="192" spans="2:63" s="11" customFormat="1" ht="22.9" customHeight="1">
      <c r="B192" s="116"/>
      <c r="D192" s="117" t="s">
        <v>76</v>
      </c>
      <c r="E192" s="126" t="s">
        <v>3183</v>
      </c>
      <c r="F192" s="126" t="s">
        <v>3184</v>
      </c>
      <c r="I192" s="119"/>
      <c r="J192" s="127">
        <f>BK192</f>
        <v>0</v>
      </c>
      <c r="L192" s="116"/>
      <c r="M192" s="121"/>
      <c r="P192" s="122">
        <f>SUM(P193:P232)</f>
        <v>0</v>
      </c>
      <c r="R192" s="122">
        <f>SUM(R193:R232)</f>
        <v>1.03366357934</v>
      </c>
      <c r="T192" s="123">
        <f>SUM(T193:T232)</f>
        <v>0</v>
      </c>
      <c r="AR192" s="117" t="s">
        <v>87</v>
      </c>
      <c r="AT192" s="124" t="s">
        <v>76</v>
      </c>
      <c r="AU192" s="124" t="s">
        <v>85</v>
      </c>
      <c r="AY192" s="117" t="s">
        <v>177</v>
      </c>
      <c r="BK192" s="125">
        <f>SUM(BK193:BK232)</f>
        <v>0</v>
      </c>
    </row>
    <row r="193" spans="2:65" s="1" customFormat="1" ht="24.2" customHeight="1">
      <c r="B193" s="128"/>
      <c r="C193" s="129" t="s">
        <v>315</v>
      </c>
      <c r="D193" s="129" t="s">
        <v>180</v>
      </c>
      <c r="E193" s="130" t="s">
        <v>3185</v>
      </c>
      <c r="F193" s="131" t="s">
        <v>3186</v>
      </c>
      <c r="G193" s="132" t="s">
        <v>332</v>
      </c>
      <c r="H193" s="133">
        <v>5.6</v>
      </c>
      <c r="I193" s="134"/>
      <c r="J193" s="135">
        <f>ROUND(I193*H193,2)</f>
        <v>0</v>
      </c>
      <c r="K193" s="131" t="s">
        <v>184</v>
      </c>
      <c r="L193" s="33"/>
      <c r="M193" s="136" t="s">
        <v>3</v>
      </c>
      <c r="N193" s="137" t="s">
        <v>48</v>
      </c>
      <c r="P193" s="138">
        <f>O193*H193</f>
        <v>0</v>
      </c>
      <c r="Q193" s="138">
        <v>0.0255942</v>
      </c>
      <c r="R193" s="138">
        <f>Q193*H193</f>
        <v>0.14332751999999999</v>
      </c>
      <c r="S193" s="138">
        <v>0</v>
      </c>
      <c r="T193" s="139">
        <f>S193*H193</f>
        <v>0</v>
      </c>
      <c r="AR193" s="140" t="s">
        <v>237</v>
      </c>
      <c r="AT193" s="140" t="s">
        <v>180</v>
      </c>
      <c r="AU193" s="140" t="s">
        <v>87</v>
      </c>
      <c r="AY193" s="18" t="s">
        <v>177</v>
      </c>
      <c r="BE193" s="141">
        <f>IF(N193="základní",J193,0)</f>
        <v>0</v>
      </c>
      <c r="BF193" s="141">
        <f>IF(N193="snížená",J193,0)</f>
        <v>0</v>
      </c>
      <c r="BG193" s="141">
        <f>IF(N193="zákl. přenesená",J193,0)</f>
        <v>0</v>
      </c>
      <c r="BH193" s="141">
        <f>IF(N193="sníž. přenesená",J193,0)</f>
        <v>0</v>
      </c>
      <c r="BI193" s="141">
        <f>IF(N193="nulová",J193,0)</f>
        <v>0</v>
      </c>
      <c r="BJ193" s="18" t="s">
        <v>85</v>
      </c>
      <c r="BK193" s="141">
        <f>ROUND(I193*H193,2)</f>
        <v>0</v>
      </c>
      <c r="BL193" s="18" t="s">
        <v>237</v>
      </c>
      <c r="BM193" s="140" t="s">
        <v>3187</v>
      </c>
    </row>
    <row r="194" spans="2:47" s="1" customFormat="1" ht="39">
      <c r="B194" s="33"/>
      <c r="D194" s="142" t="s">
        <v>187</v>
      </c>
      <c r="F194" s="143" t="s">
        <v>3188</v>
      </c>
      <c r="I194" s="144"/>
      <c r="L194" s="33"/>
      <c r="M194" s="145"/>
      <c r="T194" s="54"/>
      <c r="AT194" s="18" t="s">
        <v>187</v>
      </c>
      <c r="AU194" s="18" t="s">
        <v>87</v>
      </c>
    </row>
    <row r="195" spans="2:47" s="1" customFormat="1" ht="11.25">
      <c r="B195" s="33"/>
      <c r="D195" s="146" t="s">
        <v>189</v>
      </c>
      <c r="F195" s="147" t="s">
        <v>3189</v>
      </c>
      <c r="I195" s="144"/>
      <c r="L195" s="33"/>
      <c r="M195" s="145"/>
      <c r="T195" s="54"/>
      <c r="AT195" s="18" t="s">
        <v>189</v>
      </c>
      <c r="AU195" s="18" t="s">
        <v>87</v>
      </c>
    </row>
    <row r="196" spans="2:47" s="1" customFormat="1" ht="234">
      <c r="B196" s="33"/>
      <c r="D196" s="142" t="s">
        <v>191</v>
      </c>
      <c r="F196" s="148" t="s">
        <v>3190</v>
      </c>
      <c r="I196" s="144"/>
      <c r="L196" s="33"/>
      <c r="M196" s="145"/>
      <c r="T196" s="54"/>
      <c r="AT196" s="18" t="s">
        <v>191</v>
      </c>
      <c r="AU196" s="18" t="s">
        <v>87</v>
      </c>
    </row>
    <row r="197" spans="2:51" s="13" customFormat="1" ht="22.5">
      <c r="B197" s="156"/>
      <c r="D197" s="142" t="s">
        <v>193</v>
      </c>
      <c r="E197" s="157" t="s">
        <v>3</v>
      </c>
      <c r="F197" s="158" t="s">
        <v>3191</v>
      </c>
      <c r="H197" s="157" t="s">
        <v>3</v>
      </c>
      <c r="I197" s="159"/>
      <c r="L197" s="156"/>
      <c r="M197" s="160"/>
      <c r="T197" s="161"/>
      <c r="AT197" s="157" t="s">
        <v>193</v>
      </c>
      <c r="AU197" s="157" t="s">
        <v>87</v>
      </c>
      <c r="AV197" s="13" t="s">
        <v>85</v>
      </c>
      <c r="AW197" s="13" t="s">
        <v>36</v>
      </c>
      <c r="AX197" s="13" t="s">
        <v>77</v>
      </c>
      <c r="AY197" s="157" t="s">
        <v>177</v>
      </c>
    </row>
    <row r="198" spans="2:51" s="12" customFormat="1" ht="11.25">
      <c r="B198" s="149"/>
      <c r="D198" s="142" t="s">
        <v>193</v>
      </c>
      <c r="E198" s="150" t="s">
        <v>3</v>
      </c>
      <c r="F198" s="151" t="s">
        <v>3192</v>
      </c>
      <c r="H198" s="152">
        <v>5.6</v>
      </c>
      <c r="I198" s="153"/>
      <c r="L198" s="149"/>
      <c r="M198" s="154"/>
      <c r="T198" s="155"/>
      <c r="AT198" s="150" t="s">
        <v>193</v>
      </c>
      <c r="AU198" s="150" t="s">
        <v>87</v>
      </c>
      <c r="AV198" s="12" t="s">
        <v>87</v>
      </c>
      <c r="AW198" s="12" t="s">
        <v>36</v>
      </c>
      <c r="AX198" s="12" t="s">
        <v>85</v>
      </c>
      <c r="AY198" s="150" t="s">
        <v>177</v>
      </c>
    </row>
    <row r="199" spans="2:65" s="1" customFormat="1" ht="16.5" customHeight="1">
      <c r="B199" s="128"/>
      <c r="C199" s="129" t="s">
        <v>461</v>
      </c>
      <c r="D199" s="129" t="s">
        <v>180</v>
      </c>
      <c r="E199" s="130" t="s">
        <v>3193</v>
      </c>
      <c r="F199" s="131" t="s">
        <v>3194</v>
      </c>
      <c r="G199" s="132" t="s">
        <v>332</v>
      </c>
      <c r="H199" s="133">
        <v>5.6</v>
      </c>
      <c r="I199" s="134"/>
      <c r="J199" s="135">
        <f>ROUND(I199*H199,2)</f>
        <v>0</v>
      </c>
      <c r="K199" s="131" t="s">
        <v>184</v>
      </c>
      <c r="L199" s="33"/>
      <c r="M199" s="136" t="s">
        <v>3</v>
      </c>
      <c r="N199" s="137" t="s">
        <v>48</v>
      </c>
      <c r="P199" s="138">
        <f>O199*H199</f>
        <v>0</v>
      </c>
      <c r="Q199" s="138">
        <v>0.0001</v>
      </c>
      <c r="R199" s="138">
        <f>Q199*H199</f>
        <v>0.00056</v>
      </c>
      <c r="S199" s="138">
        <v>0</v>
      </c>
      <c r="T199" s="139">
        <f>S199*H199</f>
        <v>0</v>
      </c>
      <c r="AR199" s="140" t="s">
        <v>237</v>
      </c>
      <c r="AT199" s="140" t="s">
        <v>180</v>
      </c>
      <c r="AU199" s="140" t="s">
        <v>87</v>
      </c>
      <c r="AY199" s="18" t="s">
        <v>177</v>
      </c>
      <c r="BE199" s="141">
        <f>IF(N199="základní",J199,0)</f>
        <v>0</v>
      </c>
      <c r="BF199" s="141">
        <f>IF(N199="snížená",J199,0)</f>
        <v>0</v>
      </c>
      <c r="BG199" s="141">
        <f>IF(N199="zákl. přenesená",J199,0)</f>
        <v>0</v>
      </c>
      <c r="BH199" s="141">
        <f>IF(N199="sníž. přenesená",J199,0)</f>
        <v>0</v>
      </c>
      <c r="BI199" s="141">
        <f>IF(N199="nulová",J199,0)</f>
        <v>0</v>
      </c>
      <c r="BJ199" s="18" t="s">
        <v>85</v>
      </c>
      <c r="BK199" s="141">
        <f>ROUND(I199*H199,2)</f>
        <v>0</v>
      </c>
      <c r="BL199" s="18" t="s">
        <v>237</v>
      </c>
      <c r="BM199" s="140" t="s">
        <v>3195</v>
      </c>
    </row>
    <row r="200" spans="2:47" s="1" customFormat="1" ht="29.25">
      <c r="B200" s="33"/>
      <c r="D200" s="142" t="s">
        <v>187</v>
      </c>
      <c r="F200" s="143" t="s">
        <v>3196</v>
      </c>
      <c r="I200" s="144"/>
      <c r="L200" s="33"/>
      <c r="M200" s="145"/>
      <c r="T200" s="54"/>
      <c r="AT200" s="18" t="s">
        <v>187</v>
      </c>
      <c r="AU200" s="18" t="s">
        <v>87</v>
      </c>
    </row>
    <row r="201" spans="2:47" s="1" customFormat="1" ht="11.25">
      <c r="B201" s="33"/>
      <c r="D201" s="146" t="s">
        <v>189</v>
      </c>
      <c r="F201" s="147" t="s">
        <v>3197</v>
      </c>
      <c r="I201" s="144"/>
      <c r="L201" s="33"/>
      <c r="M201" s="145"/>
      <c r="T201" s="54"/>
      <c r="AT201" s="18" t="s">
        <v>189</v>
      </c>
      <c r="AU201" s="18" t="s">
        <v>87</v>
      </c>
    </row>
    <row r="202" spans="2:47" s="1" customFormat="1" ht="234">
      <c r="B202" s="33"/>
      <c r="D202" s="142" t="s">
        <v>191</v>
      </c>
      <c r="F202" s="148" t="s">
        <v>3190</v>
      </c>
      <c r="I202" s="144"/>
      <c r="L202" s="33"/>
      <c r="M202" s="145"/>
      <c r="T202" s="54"/>
      <c r="AT202" s="18" t="s">
        <v>191</v>
      </c>
      <c r="AU202" s="18" t="s">
        <v>87</v>
      </c>
    </row>
    <row r="203" spans="2:65" s="1" customFormat="1" ht="24.2" customHeight="1">
      <c r="B203" s="128"/>
      <c r="C203" s="129" t="s">
        <v>467</v>
      </c>
      <c r="D203" s="129" t="s">
        <v>180</v>
      </c>
      <c r="E203" s="130" t="s">
        <v>3198</v>
      </c>
      <c r="F203" s="131" t="s">
        <v>3199</v>
      </c>
      <c r="G203" s="132" t="s">
        <v>332</v>
      </c>
      <c r="H203" s="133">
        <v>32.6</v>
      </c>
      <c r="I203" s="134"/>
      <c r="J203" s="135">
        <f>ROUND(I203*H203,2)</f>
        <v>0</v>
      </c>
      <c r="K203" s="131" t="s">
        <v>184</v>
      </c>
      <c r="L203" s="33"/>
      <c r="M203" s="136" t="s">
        <v>3</v>
      </c>
      <c r="N203" s="137" t="s">
        <v>48</v>
      </c>
      <c r="P203" s="138">
        <f>O203*H203</f>
        <v>0</v>
      </c>
      <c r="Q203" s="138">
        <v>0.0122014909</v>
      </c>
      <c r="R203" s="138">
        <f>Q203*H203</f>
        <v>0.39776860334</v>
      </c>
      <c r="S203" s="138">
        <v>0</v>
      </c>
      <c r="T203" s="139">
        <f>S203*H203</f>
        <v>0</v>
      </c>
      <c r="AR203" s="140" t="s">
        <v>237</v>
      </c>
      <c r="AT203" s="140" t="s">
        <v>180</v>
      </c>
      <c r="AU203" s="140" t="s">
        <v>87</v>
      </c>
      <c r="AY203" s="18" t="s">
        <v>177</v>
      </c>
      <c r="BE203" s="141">
        <f>IF(N203="základní",J203,0)</f>
        <v>0</v>
      </c>
      <c r="BF203" s="141">
        <f>IF(N203="snížená",J203,0)</f>
        <v>0</v>
      </c>
      <c r="BG203" s="141">
        <f>IF(N203="zákl. přenesená",J203,0)</f>
        <v>0</v>
      </c>
      <c r="BH203" s="141">
        <f>IF(N203="sníž. přenesená",J203,0)</f>
        <v>0</v>
      </c>
      <c r="BI203" s="141">
        <f>IF(N203="nulová",J203,0)</f>
        <v>0</v>
      </c>
      <c r="BJ203" s="18" t="s">
        <v>85</v>
      </c>
      <c r="BK203" s="141">
        <f>ROUND(I203*H203,2)</f>
        <v>0</v>
      </c>
      <c r="BL203" s="18" t="s">
        <v>237</v>
      </c>
      <c r="BM203" s="140" t="s">
        <v>3200</v>
      </c>
    </row>
    <row r="204" spans="2:47" s="1" customFormat="1" ht="29.25">
      <c r="B204" s="33"/>
      <c r="D204" s="142" t="s">
        <v>187</v>
      </c>
      <c r="F204" s="143" t="s">
        <v>3201</v>
      </c>
      <c r="I204" s="144"/>
      <c r="L204" s="33"/>
      <c r="M204" s="145"/>
      <c r="T204" s="54"/>
      <c r="AT204" s="18" t="s">
        <v>187</v>
      </c>
      <c r="AU204" s="18" t="s">
        <v>87</v>
      </c>
    </row>
    <row r="205" spans="2:47" s="1" customFormat="1" ht="11.25">
      <c r="B205" s="33"/>
      <c r="D205" s="146" t="s">
        <v>189</v>
      </c>
      <c r="F205" s="147" t="s">
        <v>3202</v>
      </c>
      <c r="I205" s="144"/>
      <c r="L205" s="33"/>
      <c r="M205" s="145"/>
      <c r="T205" s="54"/>
      <c r="AT205" s="18" t="s">
        <v>189</v>
      </c>
      <c r="AU205" s="18" t="s">
        <v>87</v>
      </c>
    </row>
    <row r="206" spans="2:47" s="1" customFormat="1" ht="146.25">
      <c r="B206" s="33"/>
      <c r="D206" s="142" t="s">
        <v>191</v>
      </c>
      <c r="F206" s="148" t="s">
        <v>3203</v>
      </c>
      <c r="I206" s="144"/>
      <c r="L206" s="33"/>
      <c r="M206" s="145"/>
      <c r="T206" s="54"/>
      <c r="AT206" s="18" t="s">
        <v>191</v>
      </c>
      <c r="AU206" s="18" t="s">
        <v>87</v>
      </c>
    </row>
    <row r="207" spans="2:51" s="12" customFormat="1" ht="11.25">
      <c r="B207" s="149"/>
      <c r="D207" s="142" t="s">
        <v>193</v>
      </c>
      <c r="E207" s="150" t="s">
        <v>3</v>
      </c>
      <c r="F207" s="151" t="s">
        <v>3204</v>
      </c>
      <c r="H207" s="152">
        <v>32.6</v>
      </c>
      <c r="I207" s="153"/>
      <c r="L207" s="149"/>
      <c r="M207" s="154"/>
      <c r="T207" s="155"/>
      <c r="AT207" s="150" t="s">
        <v>193</v>
      </c>
      <c r="AU207" s="150" t="s">
        <v>87</v>
      </c>
      <c r="AV207" s="12" t="s">
        <v>87</v>
      </c>
      <c r="AW207" s="12" t="s">
        <v>36</v>
      </c>
      <c r="AX207" s="12" t="s">
        <v>85</v>
      </c>
      <c r="AY207" s="150" t="s">
        <v>177</v>
      </c>
    </row>
    <row r="208" spans="2:65" s="1" customFormat="1" ht="24.2" customHeight="1">
      <c r="B208" s="128"/>
      <c r="C208" s="129" t="s">
        <v>8</v>
      </c>
      <c r="D208" s="129" t="s">
        <v>180</v>
      </c>
      <c r="E208" s="130" t="s">
        <v>3205</v>
      </c>
      <c r="F208" s="131" t="s">
        <v>3206</v>
      </c>
      <c r="G208" s="132" t="s">
        <v>332</v>
      </c>
      <c r="H208" s="133">
        <v>34.8</v>
      </c>
      <c r="I208" s="134"/>
      <c r="J208" s="135">
        <f>ROUND(I208*H208,2)</f>
        <v>0</v>
      </c>
      <c r="K208" s="131" t="s">
        <v>184</v>
      </c>
      <c r="L208" s="33"/>
      <c r="M208" s="136" t="s">
        <v>3</v>
      </c>
      <c r="N208" s="137" t="s">
        <v>48</v>
      </c>
      <c r="P208" s="138">
        <f>O208*H208</f>
        <v>0</v>
      </c>
      <c r="Q208" s="138">
        <v>0.01258872</v>
      </c>
      <c r="R208" s="138">
        <f>Q208*H208</f>
        <v>0.43808745599999993</v>
      </c>
      <c r="S208" s="138">
        <v>0</v>
      </c>
      <c r="T208" s="139">
        <f>S208*H208</f>
        <v>0</v>
      </c>
      <c r="AR208" s="140" t="s">
        <v>237</v>
      </c>
      <c r="AT208" s="140" t="s">
        <v>180</v>
      </c>
      <c r="AU208" s="140" t="s">
        <v>87</v>
      </c>
      <c r="AY208" s="18" t="s">
        <v>177</v>
      </c>
      <c r="BE208" s="141">
        <f>IF(N208="základní",J208,0)</f>
        <v>0</v>
      </c>
      <c r="BF208" s="141">
        <f>IF(N208="snížená",J208,0)</f>
        <v>0</v>
      </c>
      <c r="BG208" s="141">
        <f>IF(N208="zákl. přenesená",J208,0)</f>
        <v>0</v>
      </c>
      <c r="BH208" s="141">
        <f>IF(N208="sníž. přenesená",J208,0)</f>
        <v>0</v>
      </c>
      <c r="BI208" s="141">
        <f>IF(N208="nulová",J208,0)</f>
        <v>0</v>
      </c>
      <c r="BJ208" s="18" t="s">
        <v>85</v>
      </c>
      <c r="BK208" s="141">
        <f>ROUND(I208*H208,2)</f>
        <v>0</v>
      </c>
      <c r="BL208" s="18" t="s">
        <v>237</v>
      </c>
      <c r="BM208" s="140" t="s">
        <v>3207</v>
      </c>
    </row>
    <row r="209" spans="2:47" s="1" customFormat="1" ht="29.25">
      <c r="B209" s="33"/>
      <c r="D209" s="142" t="s">
        <v>187</v>
      </c>
      <c r="F209" s="143" t="s">
        <v>3208</v>
      </c>
      <c r="I209" s="144"/>
      <c r="L209" s="33"/>
      <c r="M209" s="145"/>
      <c r="T209" s="54"/>
      <c r="AT209" s="18" t="s">
        <v>187</v>
      </c>
      <c r="AU209" s="18" t="s">
        <v>87</v>
      </c>
    </row>
    <row r="210" spans="2:47" s="1" customFormat="1" ht="11.25">
      <c r="B210" s="33"/>
      <c r="D210" s="146" t="s">
        <v>189</v>
      </c>
      <c r="F210" s="147" t="s">
        <v>3209</v>
      </c>
      <c r="I210" s="144"/>
      <c r="L210" s="33"/>
      <c r="M210" s="145"/>
      <c r="T210" s="54"/>
      <c r="AT210" s="18" t="s">
        <v>189</v>
      </c>
      <c r="AU210" s="18" t="s">
        <v>87</v>
      </c>
    </row>
    <row r="211" spans="2:47" s="1" customFormat="1" ht="146.25">
      <c r="B211" s="33"/>
      <c r="D211" s="142" t="s">
        <v>191</v>
      </c>
      <c r="F211" s="148" t="s">
        <v>3203</v>
      </c>
      <c r="I211" s="144"/>
      <c r="L211" s="33"/>
      <c r="M211" s="145"/>
      <c r="T211" s="54"/>
      <c r="AT211" s="18" t="s">
        <v>191</v>
      </c>
      <c r="AU211" s="18" t="s">
        <v>87</v>
      </c>
    </row>
    <row r="212" spans="2:51" s="13" customFormat="1" ht="11.25">
      <c r="B212" s="156"/>
      <c r="D212" s="142" t="s">
        <v>193</v>
      </c>
      <c r="E212" s="157" t="s">
        <v>3</v>
      </c>
      <c r="F212" s="158" t="s">
        <v>937</v>
      </c>
      <c r="H212" s="157" t="s">
        <v>3</v>
      </c>
      <c r="I212" s="159"/>
      <c r="L212" s="156"/>
      <c r="M212" s="160"/>
      <c r="T212" s="161"/>
      <c r="AT212" s="157" t="s">
        <v>193</v>
      </c>
      <c r="AU212" s="157" t="s">
        <v>87</v>
      </c>
      <c r="AV212" s="13" t="s">
        <v>85</v>
      </c>
      <c r="AW212" s="13" t="s">
        <v>36</v>
      </c>
      <c r="AX212" s="13" t="s">
        <v>77</v>
      </c>
      <c r="AY212" s="157" t="s">
        <v>177</v>
      </c>
    </row>
    <row r="213" spans="2:51" s="12" customFormat="1" ht="11.25">
      <c r="B213" s="149"/>
      <c r="D213" s="142" t="s">
        <v>193</v>
      </c>
      <c r="E213" s="150" t="s">
        <v>3</v>
      </c>
      <c r="F213" s="151" t="s">
        <v>3210</v>
      </c>
      <c r="H213" s="152">
        <v>16.3</v>
      </c>
      <c r="I213" s="153"/>
      <c r="L213" s="149"/>
      <c r="M213" s="154"/>
      <c r="T213" s="155"/>
      <c r="AT213" s="150" t="s">
        <v>193</v>
      </c>
      <c r="AU213" s="150" t="s">
        <v>87</v>
      </c>
      <c r="AV213" s="12" t="s">
        <v>87</v>
      </c>
      <c r="AW213" s="12" t="s">
        <v>36</v>
      </c>
      <c r="AX213" s="12" t="s">
        <v>77</v>
      </c>
      <c r="AY213" s="150" t="s">
        <v>177</v>
      </c>
    </row>
    <row r="214" spans="2:51" s="13" customFormat="1" ht="11.25">
      <c r="B214" s="156"/>
      <c r="D214" s="142" t="s">
        <v>193</v>
      </c>
      <c r="E214" s="157" t="s">
        <v>3</v>
      </c>
      <c r="F214" s="158" t="s">
        <v>929</v>
      </c>
      <c r="H214" s="157" t="s">
        <v>3</v>
      </c>
      <c r="I214" s="159"/>
      <c r="L214" s="156"/>
      <c r="M214" s="160"/>
      <c r="T214" s="161"/>
      <c r="AT214" s="157" t="s">
        <v>193</v>
      </c>
      <c r="AU214" s="157" t="s">
        <v>87</v>
      </c>
      <c r="AV214" s="13" t="s">
        <v>85</v>
      </c>
      <c r="AW214" s="13" t="s">
        <v>36</v>
      </c>
      <c r="AX214" s="13" t="s">
        <v>77</v>
      </c>
      <c r="AY214" s="157" t="s">
        <v>177</v>
      </c>
    </row>
    <row r="215" spans="2:51" s="12" customFormat="1" ht="11.25">
      <c r="B215" s="149"/>
      <c r="D215" s="142" t="s">
        <v>193</v>
      </c>
      <c r="E215" s="150" t="s">
        <v>3</v>
      </c>
      <c r="F215" s="151" t="s">
        <v>3211</v>
      </c>
      <c r="H215" s="152">
        <v>18.5</v>
      </c>
      <c r="I215" s="153"/>
      <c r="L215" s="149"/>
      <c r="M215" s="154"/>
      <c r="T215" s="155"/>
      <c r="AT215" s="150" t="s">
        <v>193</v>
      </c>
      <c r="AU215" s="150" t="s">
        <v>87</v>
      </c>
      <c r="AV215" s="12" t="s">
        <v>87</v>
      </c>
      <c r="AW215" s="12" t="s">
        <v>36</v>
      </c>
      <c r="AX215" s="12" t="s">
        <v>77</v>
      </c>
      <c r="AY215" s="150" t="s">
        <v>177</v>
      </c>
    </row>
    <row r="216" spans="2:51" s="15" customFormat="1" ht="11.25">
      <c r="B216" s="169"/>
      <c r="D216" s="142" t="s">
        <v>193</v>
      </c>
      <c r="E216" s="170" t="s">
        <v>3</v>
      </c>
      <c r="F216" s="171" t="s">
        <v>201</v>
      </c>
      <c r="H216" s="172">
        <v>34.8</v>
      </c>
      <c r="I216" s="173"/>
      <c r="L216" s="169"/>
      <c r="M216" s="174"/>
      <c r="T216" s="175"/>
      <c r="AT216" s="170" t="s">
        <v>193</v>
      </c>
      <c r="AU216" s="170" t="s">
        <v>87</v>
      </c>
      <c r="AV216" s="15" t="s">
        <v>185</v>
      </c>
      <c r="AW216" s="15" t="s">
        <v>36</v>
      </c>
      <c r="AX216" s="15" t="s">
        <v>85</v>
      </c>
      <c r="AY216" s="170" t="s">
        <v>177</v>
      </c>
    </row>
    <row r="217" spans="2:65" s="1" customFormat="1" ht="16.5" customHeight="1">
      <c r="B217" s="128"/>
      <c r="C217" s="129" t="s">
        <v>483</v>
      </c>
      <c r="D217" s="129" t="s">
        <v>180</v>
      </c>
      <c r="E217" s="130" t="s">
        <v>3212</v>
      </c>
      <c r="F217" s="131" t="s">
        <v>3213</v>
      </c>
      <c r="G217" s="132" t="s">
        <v>332</v>
      </c>
      <c r="H217" s="133">
        <v>67.4</v>
      </c>
      <c r="I217" s="134"/>
      <c r="J217" s="135">
        <f>ROUND(I217*H217,2)</f>
        <v>0</v>
      </c>
      <c r="K217" s="131" t="s">
        <v>184</v>
      </c>
      <c r="L217" s="33"/>
      <c r="M217" s="136" t="s">
        <v>3</v>
      </c>
      <c r="N217" s="137" t="s">
        <v>48</v>
      </c>
      <c r="P217" s="138">
        <f>O217*H217</f>
        <v>0</v>
      </c>
      <c r="Q217" s="138">
        <v>0.0001</v>
      </c>
      <c r="R217" s="138">
        <f>Q217*H217</f>
        <v>0.006740000000000001</v>
      </c>
      <c r="S217" s="138">
        <v>0</v>
      </c>
      <c r="T217" s="139">
        <f>S217*H217</f>
        <v>0</v>
      </c>
      <c r="AR217" s="140" t="s">
        <v>237</v>
      </c>
      <c r="AT217" s="140" t="s">
        <v>180</v>
      </c>
      <c r="AU217" s="140" t="s">
        <v>87</v>
      </c>
      <c r="AY217" s="18" t="s">
        <v>177</v>
      </c>
      <c r="BE217" s="141">
        <f>IF(N217="základní",J217,0)</f>
        <v>0</v>
      </c>
      <c r="BF217" s="141">
        <f>IF(N217="snížená",J217,0)</f>
        <v>0</v>
      </c>
      <c r="BG217" s="141">
        <f>IF(N217="zákl. přenesená",J217,0)</f>
        <v>0</v>
      </c>
      <c r="BH217" s="141">
        <f>IF(N217="sníž. přenesená",J217,0)</f>
        <v>0</v>
      </c>
      <c r="BI217" s="141">
        <f>IF(N217="nulová",J217,0)</f>
        <v>0</v>
      </c>
      <c r="BJ217" s="18" t="s">
        <v>85</v>
      </c>
      <c r="BK217" s="141">
        <f>ROUND(I217*H217,2)</f>
        <v>0</v>
      </c>
      <c r="BL217" s="18" t="s">
        <v>237</v>
      </c>
      <c r="BM217" s="140" t="s">
        <v>3214</v>
      </c>
    </row>
    <row r="218" spans="2:47" s="1" customFormat="1" ht="19.5">
      <c r="B218" s="33"/>
      <c r="D218" s="142" t="s">
        <v>187</v>
      </c>
      <c r="F218" s="143" t="s">
        <v>3215</v>
      </c>
      <c r="I218" s="144"/>
      <c r="L218" s="33"/>
      <c r="M218" s="145"/>
      <c r="T218" s="54"/>
      <c r="AT218" s="18" t="s">
        <v>187</v>
      </c>
      <c r="AU218" s="18" t="s">
        <v>87</v>
      </c>
    </row>
    <row r="219" spans="2:47" s="1" customFormat="1" ht="11.25">
      <c r="B219" s="33"/>
      <c r="D219" s="146" t="s">
        <v>189</v>
      </c>
      <c r="F219" s="147" t="s">
        <v>3216</v>
      </c>
      <c r="I219" s="144"/>
      <c r="L219" s="33"/>
      <c r="M219" s="145"/>
      <c r="T219" s="54"/>
      <c r="AT219" s="18" t="s">
        <v>189</v>
      </c>
      <c r="AU219" s="18" t="s">
        <v>87</v>
      </c>
    </row>
    <row r="220" spans="2:47" s="1" customFormat="1" ht="146.25">
      <c r="B220" s="33"/>
      <c r="D220" s="142" t="s">
        <v>191</v>
      </c>
      <c r="F220" s="148" t="s">
        <v>3203</v>
      </c>
      <c r="I220" s="144"/>
      <c r="L220" s="33"/>
      <c r="M220" s="145"/>
      <c r="T220" s="54"/>
      <c r="AT220" s="18" t="s">
        <v>191</v>
      </c>
      <c r="AU220" s="18" t="s">
        <v>87</v>
      </c>
    </row>
    <row r="221" spans="2:65" s="1" customFormat="1" ht="21.75" customHeight="1">
      <c r="B221" s="128"/>
      <c r="C221" s="129" t="s">
        <v>490</v>
      </c>
      <c r="D221" s="129" t="s">
        <v>180</v>
      </c>
      <c r="E221" s="130" t="s">
        <v>3217</v>
      </c>
      <c r="F221" s="131" t="s">
        <v>3218</v>
      </c>
      <c r="G221" s="132" t="s">
        <v>332</v>
      </c>
      <c r="H221" s="133">
        <v>67.4</v>
      </c>
      <c r="I221" s="134"/>
      <c r="J221" s="135">
        <f>ROUND(I221*H221,2)</f>
        <v>0</v>
      </c>
      <c r="K221" s="131" t="s">
        <v>184</v>
      </c>
      <c r="L221" s="33"/>
      <c r="M221" s="136" t="s">
        <v>3</v>
      </c>
      <c r="N221" s="137" t="s">
        <v>48</v>
      </c>
      <c r="P221" s="138">
        <f>O221*H221</f>
        <v>0</v>
      </c>
      <c r="Q221" s="138">
        <v>0.0007</v>
      </c>
      <c r="R221" s="138">
        <f>Q221*H221</f>
        <v>0.04718000000000001</v>
      </c>
      <c r="S221" s="138">
        <v>0</v>
      </c>
      <c r="T221" s="139">
        <f>S221*H221</f>
        <v>0</v>
      </c>
      <c r="AR221" s="140" t="s">
        <v>237</v>
      </c>
      <c r="AT221" s="140" t="s">
        <v>180</v>
      </c>
      <c r="AU221" s="140" t="s">
        <v>87</v>
      </c>
      <c r="AY221" s="18" t="s">
        <v>177</v>
      </c>
      <c r="BE221" s="141">
        <f>IF(N221="základní",J221,0)</f>
        <v>0</v>
      </c>
      <c r="BF221" s="141">
        <f>IF(N221="snížená",J221,0)</f>
        <v>0</v>
      </c>
      <c r="BG221" s="141">
        <f>IF(N221="zákl. přenesená",J221,0)</f>
        <v>0</v>
      </c>
      <c r="BH221" s="141">
        <f>IF(N221="sníž. přenesená",J221,0)</f>
        <v>0</v>
      </c>
      <c r="BI221" s="141">
        <f>IF(N221="nulová",J221,0)</f>
        <v>0</v>
      </c>
      <c r="BJ221" s="18" t="s">
        <v>85</v>
      </c>
      <c r="BK221" s="141">
        <f>ROUND(I221*H221,2)</f>
        <v>0</v>
      </c>
      <c r="BL221" s="18" t="s">
        <v>237</v>
      </c>
      <c r="BM221" s="140" t="s">
        <v>3219</v>
      </c>
    </row>
    <row r="222" spans="2:47" s="1" customFormat="1" ht="19.5">
      <c r="B222" s="33"/>
      <c r="D222" s="142" t="s">
        <v>187</v>
      </c>
      <c r="F222" s="143" t="s">
        <v>3220</v>
      </c>
      <c r="I222" s="144"/>
      <c r="L222" s="33"/>
      <c r="M222" s="145"/>
      <c r="T222" s="54"/>
      <c r="AT222" s="18" t="s">
        <v>187</v>
      </c>
      <c r="AU222" s="18" t="s">
        <v>87</v>
      </c>
    </row>
    <row r="223" spans="2:47" s="1" customFormat="1" ht="11.25">
      <c r="B223" s="33"/>
      <c r="D223" s="146" t="s">
        <v>189</v>
      </c>
      <c r="F223" s="147" t="s">
        <v>3221</v>
      </c>
      <c r="I223" s="144"/>
      <c r="L223" s="33"/>
      <c r="M223" s="145"/>
      <c r="T223" s="54"/>
      <c r="AT223" s="18" t="s">
        <v>189</v>
      </c>
      <c r="AU223" s="18" t="s">
        <v>87</v>
      </c>
    </row>
    <row r="224" spans="2:47" s="1" customFormat="1" ht="146.25">
      <c r="B224" s="33"/>
      <c r="D224" s="142" t="s">
        <v>191</v>
      </c>
      <c r="F224" s="148" t="s">
        <v>3203</v>
      </c>
      <c r="I224" s="144"/>
      <c r="L224" s="33"/>
      <c r="M224" s="145"/>
      <c r="T224" s="54"/>
      <c r="AT224" s="18" t="s">
        <v>191</v>
      </c>
      <c r="AU224" s="18" t="s">
        <v>87</v>
      </c>
    </row>
    <row r="225" spans="2:65" s="1" customFormat="1" ht="24.2" customHeight="1">
      <c r="B225" s="128"/>
      <c r="C225" s="129" t="s">
        <v>496</v>
      </c>
      <c r="D225" s="129" t="s">
        <v>180</v>
      </c>
      <c r="E225" s="130" t="s">
        <v>3222</v>
      </c>
      <c r="F225" s="131" t="s">
        <v>3223</v>
      </c>
      <c r="G225" s="132" t="s">
        <v>183</v>
      </c>
      <c r="H225" s="133">
        <v>1.034</v>
      </c>
      <c r="I225" s="134"/>
      <c r="J225" s="135">
        <f>ROUND(I225*H225,2)</f>
        <v>0</v>
      </c>
      <c r="K225" s="131" t="s">
        <v>184</v>
      </c>
      <c r="L225" s="33"/>
      <c r="M225" s="136" t="s">
        <v>3</v>
      </c>
      <c r="N225" s="137" t="s">
        <v>48</v>
      </c>
      <c r="P225" s="138">
        <f>O225*H225</f>
        <v>0</v>
      </c>
      <c r="Q225" s="138">
        <v>0</v>
      </c>
      <c r="R225" s="138">
        <f>Q225*H225</f>
        <v>0</v>
      </c>
      <c r="S225" s="138">
        <v>0</v>
      </c>
      <c r="T225" s="139">
        <f>S225*H225</f>
        <v>0</v>
      </c>
      <c r="AR225" s="140" t="s">
        <v>237</v>
      </c>
      <c r="AT225" s="140" t="s">
        <v>180</v>
      </c>
      <c r="AU225" s="140" t="s">
        <v>87</v>
      </c>
      <c r="AY225" s="18" t="s">
        <v>177</v>
      </c>
      <c r="BE225" s="141">
        <f>IF(N225="základní",J225,0)</f>
        <v>0</v>
      </c>
      <c r="BF225" s="141">
        <f>IF(N225="snížená",J225,0)</f>
        <v>0</v>
      </c>
      <c r="BG225" s="141">
        <f>IF(N225="zákl. přenesená",J225,0)</f>
        <v>0</v>
      </c>
      <c r="BH225" s="141">
        <f>IF(N225="sníž. přenesená",J225,0)</f>
        <v>0</v>
      </c>
      <c r="BI225" s="141">
        <f>IF(N225="nulová",J225,0)</f>
        <v>0</v>
      </c>
      <c r="BJ225" s="18" t="s">
        <v>85</v>
      </c>
      <c r="BK225" s="141">
        <f>ROUND(I225*H225,2)</f>
        <v>0</v>
      </c>
      <c r="BL225" s="18" t="s">
        <v>237</v>
      </c>
      <c r="BM225" s="140" t="s">
        <v>3224</v>
      </c>
    </row>
    <row r="226" spans="2:47" s="1" customFormat="1" ht="39">
      <c r="B226" s="33"/>
      <c r="D226" s="142" t="s">
        <v>187</v>
      </c>
      <c r="F226" s="143" t="s">
        <v>3225</v>
      </c>
      <c r="I226" s="144"/>
      <c r="L226" s="33"/>
      <c r="M226" s="145"/>
      <c r="T226" s="54"/>
      <c r="AT226" s="18" t="s">
        <v>187</v>
      </c>
      <c r="AU226" s="18" t="s">
        <v>87</v>
      </c>
    </row>
    <row r="227" spans="2:47" s="1" customFormat="1" ht="11.25">
      <c r="B227" s="33"/>
      <c r="D227" s="146" t="s">
        <v>189</v>
      </c>
      <c r="F227" s="147" t="s">
        <v>3226</v>
      </c>
      <c r="I227" s="144"/>
      <c r="L227" s="33"/>
      <c r="M227" s="145"/>
      <c r="T227" s="54"/>
      <c r="AT227" s="18" t="s">
        <v>189</v>
      </c>
      <c r="AU227" s="18" t="s">
        <v>87</v>
      </c>
    </row>
    <row r="228" spans="2:47" s="1" customFormat="1" ht="146.25">
      <c r="B228" s="33"/>
      <c r="D228" s="142" t="s">
        <v>191</v>
      </c>
      <c r="F228" s="148" t="s">
        <v>3227</v>
      </c>
      <c r="I228" s="144"/>
      <c r="L228" s="33"/>
      <c r="M228" s="145"/>
      <c r="T228" s="54"/>
      <c r="AT228" s="18" t="s">
        <v>191</v>
      </c>
      <c r="AU228" s="18" t="s">
        <v>87</v>
      </c>
    </row>
    <row r="229" spans="2:65" s="1" customFormat="1" ht="24.2" customHeight="1">
      <c r="B229" s="128"/>
      <c r="C229" s="129" t="s">
        <v>502</v>
      </c>
      <c r="D229" s="129" t="s">
        <v>180</v>
      </c>
      <c r="E229" s="130" t="s">
        <v>3228</v>
      </c>
      <c r="F229" s="131" t="s">
        <v>3229</v>
      </c>
      <c r="G229" s="132" t="s">
        <v>183</v>
      </c>
      <c r="H229" s="133">
        <v>1.034</v>
      </c>
      <c r="I229" s="134"/>
      <c r="J229" s="135">
        <f>ROUND(I229*H229,2)</f>
        <v>0</v>
      </c>
      <c r="K229" s="131" t="s">
        <v>184</v>
      </c>
      <c r="L229" s="33"/>
      <c r="M229" s="136" t="s">
        <v>3</v>
      </c>
      <c r="N229" s="137" t="s">
        <v>48</v>
      </c>
      <c r="P229" s="138">
        <f>O229*H229</f>
        <v>0</v>
      </c>
      <c r="Q229" s="138">
        <v>0</v>
      </c>
      <c r="R229" s="138">
        <f>Q229*H229</f>
        <v>0</v>
      </c>
      <c r="S229" s="138">
        <v>0</v>
      </c>
      <c r="T229" s="139">
        <f>S229*H229</f>
        <v>0</v>
      </c>
      <c r="AR229" s="140" t="s">
        <v>237</v>
      </c>
      <c r="AT229" s="140" t="s">
        <v>180</v>
      </c>
      <c r="AU229" s="140" t="s">
        <v>87</v>
      </c>
      <c r="AY229" s="18" t="s">
        <v>177</v>
      </c>
      <c r="BE229" s="141">
        <f>IF(N229="základní",J229,0)</f>
        <v>0</v>
      </c>
      <c r="BF229" s="141">
        <f>IF(N229="snížená",J229,0)</f>
        <v>0</v>
      </c>
      <c r="BG229" s="141">
        <f>IF(N229="zákl. přenesená",J229,0)</f>
        <v>0</v>
      </c>
      <c r="BH229" s="141">
        <f>IF(N229="sníž. přenesená",J229,0)</f>
        <v>0</v>
      </c>
      <c r="BI229" s="141">
        <f>IF(N229="nulová",J229,0)</f>
        <v>0</v>
      </c>
      <c r="BJ229" s="18" t="s">
        <v>85</v>
      </c>
      <c r="BK229" s="141">
        <f>ROUND(I229*H229,2)</f>
        <v>0</v>
      </c>
      <c r="BL229" s="18" t="s">
        <v>237</v>
      </c>
      <c r="BM229" s="140" t="s">
        <v>3230</v>
      </c>
    </row>
    <row r="230" spans="2:47" s="1" customFormat="1" ht="39">
      <c r="B230" s="33"/>
      <c r="D230" s="142" t="s">
        <v>187</v>
      </c>
      <c r="F230" s="143" t="s">
        <v>3231</v>
      </c>
      <c r="I230" s="144"/>
      <c r="L230" s="33"/>
      <c r="M230" s="145"/>
      <c r="T230" s="54"/>
      <c r="AT230" s="18" t="s">
        <v>187</v>
      </c>
      <c r="AU230" s="18" t="s">
        <v>87</v>
      </c>
    </row>
    <row r="231" spans="2:47" s="1" customFormat="1" ht="11.25">
      <c r="B231" s="33"/>
      <c r="D231" s="146" t="s">
        <v>189</v>
      </c>
      <c r="F231" s="147" t="s">
        <v>3232</v>
      </c>
      <c r="I231" s="144"/>
      <c r="L231" s="33"/>
      <c r="M231" s="145"/>
      <c r="T231" s="54"/>
      <c r="AT231" s="18" t="s">
        <v>189</v>
      </c>
      <c r="AU231" s="18" t="s">
        <v>87</v>
      </c>
    </row>
    <row r="232" spans="2:47" s="1" customFormat="1" ht="146.25">
      <c r="B232" s="33"/>
      <c r="D232" s="142" t="s">
        <v>191</v>
      </c>
      <c r="F232" s="148" t="s">
        <v>3227</v>
      </c>
      <c r="I232" s="144"/>
      <c r="L232" s="33"/>
      <c r="M232" s="145"/>
      <c r="T232" s="54"/>
      <c r="AT232" s="18" t="s">
        <v>191</v>
      </c>
      <c r="AU232" s="18" t="s">
        <v>87</v>
      </c>
    </row>
    <row r="233" spans="2:63" s="11" customFormat="1" ht="22.9" customHeight="1">
      <c r="B233" s="116"/>
      <c r="D233" s="117" t="s">
        <v>76</v>
      </c>
      <c r="E233" s="126" t="s">
        <v>1557</v>
      </c>
      <c r="F233" s="126" t="s">
        <v>1558</v>
      </c>
      <c r="I233" s="119"/>
      <c r="J233" s="127">
        <f>BK233</f>
        <v>0</v>
      </c>
      <c r="L233" s="116"/>
      <c r="M233" s="121"/>
      <c r="P233" s="122">
        <f>SUM(P234:P321)</f>
        <v>0</v>
      </c>
      <c r="R233" s="122">
        <f>SUM(R234:R321)</f>
        <v>0.9172600000000001</v>
      </c>
      <c r="T233" s="123">
        <f>SUM(T234:T321)</f>
        <v>0</v>
      </c>
      <c r="AR233" s="117" t="s">
        <v>87</v>
      </c>
      <c r="AT233" s="124" t="s">
        <v>76</v>
      </c>
      <c r="AU233" s="124" t="s">
        <v>85</v>
      </c>
      <c r="AY233" s="117" t="s">
        <v>177</v>
      </c>
      <c r="BK233" s="125">
        <f>SUM(BK234:BK321)</f>
        <v>0</v>
      </c>
    </row>
    <row r="234" spans="2:65" s="1" customFormat="1" ht="24.2" customHeight="1">
      <c r="B234" s="128"/>
      <c r="C234" s="129" t="s">
        <v>504</v>
      </c>
      <c r="D234" s="129" t="s">
        <v>180</v>
      </c>
      <c r="E234" s="130" t="s">
        <v>3233</v>
      </c>
      <c r="F234" s="131" t="s">
        <v>3234</v>
      </c>
      <c r="G234" s="132" t="s">
        <v>236</v>
      </c>
      <c r="H234" s="133">
        <v>15</v>
      </c>
      <c r="I234" s="134"/>
      <c r="J234" s="135">
        <f>ROUND(I234*H234,2)</f>
        <v>0</v>
      </c>
      <c r="K234" s="131" t="s">
        <v>184</v>
      </c>
      <c r="L234" s="33"/>
      <c r="M234" s="136" t="s">
        <v>3</v>
      </c>
      <c r="N234" s="137" t="s">
        <v>48</v>
      </c>
      <c r="P234" s="138">
        <f>O234*H234</f>
        <v>0</v>
      </c>
      <c r="Q234" s="138">
        <v>0</v>
      </c>
      <c r="R234" s="138">
        <f>Q234*H234</f>
        <v>0</v>
      </c>
      <c r="S234" s="138">
        <v>0</v>
      </c>
      <c r="T234" s="139">
        <f>S234*H234</f>
        <v>0</v>
      </c>
      <c r="AR234" s="140" t="s">
        <v>237</v>
      </c>
      <c r="AT234" s="140" t="s">
        <v>180</v>
      </c>
      <c r="AU234" s="140" t="s">
        <v>87</v>
      </c>
      <c r="AY234" s="18" t="s">
        <v>177</v>
      </c>
      <c r="BE234" s="141">
        <f>IF(N234="základní",J234,0)</f>
        <v>0</v>
      </c>
      <c r="BF234" s="141">
        <f>IF(N234="snížená",J234,0)</f>
        <v>0</v>
      </c>
      <c r="BG234" s="141">
        <f>IF(N234="zákl. přenesená",J234,0)</f>
        <v>0</v>
      </c>
      <c r="BH234" s="141">
        <f>IF(N234="sníž. přenesená",J234,0)</f>
        <v>0</v>
      </c>
      <c r="BI234" s="141">
        <f>IF(N234="nulová",J234,0)</f>
        <v>0</v>
      </c>
      <c r="BJ234" s="18" t="s">
        <v>85</v>
      </c>
      <c r="BK234" s="141">
        <f>ROUND(I234*H234,2)</f>
        <v>0</v>
      </c>
      <c r="BL234" s="18" t="s">
        <v>237</v>
      </c>
      <c r="BM234" s="140" t="s">
        <v>3235</v>
      </c>
    </row>
    <row r="235" spans="2:47" s="1" customFormat="1" ht="29.25">
      <c r="B235" s="33"/>
      <c r="D235" s="142" t="s">
        <v>187</v>
      </c>
      <c r="F235" s="143" t="s">
        <v>3236</v>
      </c>
      <c r="I235" s="144"/>
      <c r="L235" s="33"/>
      <c r="M235" s="145"/>
      <c r="T235" s="54"/>
      <c r="AT235" s="18" t="s">
        <v>187</v>
      </c>
      <c r="AU235" s="18" t="s">
        <v>87</v>
      </c>
    </row>
    <row r="236" spans="2:47" s="1" customFormat="1" ht="11.25">
      <c r="B236" s="33"/>
      <c r="D236" s="146" t="s">
        <v>189</v>
      </c>
      <c r="F236" s="147" t="s">
        <v>3237</v>
      </c>
      <c r="I236" s="144"/>
      <c r="L236" s="33"/>
      <c r="M236" s="145"/>
      <c r="T236" s="54"/>
      <c r="AT236" s="18" t="s">
        <v>189</v>
      </c>
      <c r="AU236" s="18" t="s">
        <v>87</v>
      </c>
    </row>
    <row r="237" spans="2:47" s="1" customFormat="1" ht="136.5">
      <c r="B237" s="33"/>
      <c r="D237" s="142" t="s">
        <v>191</v>
      </c>
      <c r="F237" s="148" t="s">
        <v>2279</v>
      </c>
      <c r="I237" s="144"/>
      <c r="L237" s="33"/>
      <c r="M237" s="145"/>
      <c r="T237" s="54"/>
      <c r="AT237" s="18" t="s">
        <v>191</v>
      </c>
      <c r="AU237" s="18" t="s">
        <v>87</v>
      </c>
    </row>
    <row r="238" spans="2:65" s="1" customFormat="1" ht="24.2" customHeight="1">
      <c r="B238" s="128"/>
      <c r="C238" s="179" t="s">
        <v>507</v>
      </c>
      <c r="D238" s="179" t="s">
        <v>484</v>
      </c>
      <c r="E238" s="180" t="s">
        <v>3238</v>
      </c>
      <c r="F238" s="181" t="s">
        <v>3239</v>
      </c>
      <c r="G238" s="182" t="s">
        <v>236</v>
      </c>
      <c r="H238" s="183">
        <v>15</v>
      </c>
      <c r="I238" s="184"/>
      <c r="J238" s="185">
        <f>ROUND(I238*H238,2)</f>
        <v>0</v>
      </c>
      <c r="K238" s="181" t="s">
        <v>184</v>
      </c>
      <c r="L238" s="186"/>
      <c r="M238" s="187" t="s">
        <v>3</v>
      </c>
      <c r="N238" s="188" t="s">
        <v>48</v>
      </c>
      <c r="P238" s="138">
        <f>O238*H238</f>
        <v>0</v>
      </c>
      <c r="Q238" s="138">
        <v>0.0175</v>
      </c>
      <c r="R238" s="138">
        <f>Q238*H238</f>
        <v>0.2625</v>
      </c>
      <c r="S238" s="138">
        <v>0</v>
      </c>
      <c r="T238" s="139">
        <f>S238*H238</f>
        <v>0</v>
      </c>
      <c r="AR238" s="140" t="s">
        <v>537</v>
      </c>
      <c r="AT238" s="140" t="s">
        <v>484</v>
      </c>
      <c r="AU238" s="140" t="s">
        <v>87</v>
      </c>
      <c r="AY238" s="18" t="s">
        <v>177</v>
      </c>
      <c r="BE238" s="141">
        <f>IF(N238="základní",J238,0)</f>
        <v>0</v>
      </c>
      <c r="BF238" s="141">
        <f>IF(N238="snížená",J238,0)</f>
        <v>0</v>
      </c>
      <c r="BG238" s="141">
        <f>IF(N238="zákl. přenesená",J238,0)</f>
        <v>0</v>
      </c>
      <c r="BH238" s="141">
        <f>IF(N238="sníž. přenesená",J238,0)</f>
        <v>0</v>
      </c>
      <c r="BI238" s="141">
        <f>IF(N238="nulová",J238,0)</f>
        <v>0</v>
      </c>
      <c r="BJ238" s="18" t="s">
        <v>85</v>
      </c>
      <c r="BK238" s="141">
        <f>ROUND(I238*H238,2)</f>
        <v>0</v>
      </c>
      <c r="BL238" s="18" t="s">
        <v>237</v>
      </c>
      <c r="BM238" s="140" t="s">
        <v>3240</v>
      </c>
    </row>
    <row r="239" spans="2:47" s="1" customFormat="1" ht="19.5">
      <c r="B239" s="33"/>
      <c r="D239" s="142" t="s">
        <v>187</v>
      </c>
      <c r="F239" s="143" t="s">
        <v>3241</v>
      </c>
      <c r="I239" s="144"/>
      <c r="L239" s="33"/>
      <c r="M239" s="145"/>
      <c r="T239" s="54"/>
      <c r="AT239" s="18" t="s">
        <v>187</v>
      </c>
      <c r="AU239" s="18" t="s">
        <v>87</v>
      </c>
    </row>
    <row r="240" spans="2:65" s="1" customFormat="1" ht="24.2" customHeight="1">
      <c r="B240" s="128"/>
      <c r="C240" s="129" t="s">
        <v>509</v>
      </c>
      <c r="D240" s="129" t="s">
        <v>180</v>
      </c>
      <c r="E240" s="130" t="s">
        <v>3242</v>
      </c>
      <c r="F240" s="131" t="s">
        <v>3243</v>
      </c>
      <c r="G240" s="132" t="s">
        <v>236</v>
      </c>
      <c r="H240" s="133">
        <v>2</v>
      </c>
      <c r="I240" s="134"/>
      <c r="J240" s="135">
        <f>ROUND(I240*H240,2)</f>
        <v>0</v>
      </c>
      <c r="K240" s="131" t="s">
        <v>184</v>
      </c>
      <c r="L240" s="33"/>
      <c r="M240" s="136" t="s">
        <v>3</v>
      </c>
      <c r="N240" s="137" t="s">
        <v>48</v>
      </c>
      <c r="P240" s="138">
        <f>O240*H240</f>
        <v>0</v>
      </c>
      <c r="Q240" s="138">
        <v>0</v>
      </c>
      <c r="R240" s="138">
        <f>Q240*H240</f>
        <v>0</v>
      </c>
      <c r="S240" s="138">
        <v>0</v>
      </c>
      <c r="T240" s="139">
        <f>S240*H240</f>
        <v>0</v>
      </c>
      <c r="AR240" s="140" t="s">
        <v>237</v>
      </c>
      <c r="AT240" s="140" t="s">
        <v>180</v>
      </c>
      <c r="AU240" s="140" t="s">
        <v>87</v>
      </c>
      <c r="AY240" s="18" t="s">
        <v>177</v>
      </c>
      <c r="BE240" s="141">
        <f>IF(N240="základní",J240,0)</f>
        <v>0</v>
      </c>
      <c r="BF240" s="141">
        <f>IF(N240="snížená",J240,0)</f>
        <v>0</v>
      </c>
      <c r="BG240" s="141">
        <f>IF(N240="zákl. přenesená",J240,0)</f>
        <v>0</v>
      </c>
      <c r="BH240" s="141">
        <f>IF(N240="sníž. přenesená",J240,0)</f>
        <v>0</v>
      </c>
      <c r="BI240" s="141">
        <f>IF(N240="nulová",J240,0)</f>
        <v>0</v>
      </c>
      <c r="BJ240" s="18" t="s">
        <v>85</v>
      </c>
      <c r="BK240" s="141">
        <f>ROUND(I240*H240,2)</f>
        <v>0</v>
      </c>
      <c r="BL240" s="18" t="s">
        <v>237</v>
      </c>
      <c r="BM240" s="140" t="s">
        <v>3244</v>
      </c>
    </row>
    <row r="241" spans="2:47" s="1" customFormat="1" ht="29.25">
      <c r="B241" s="33"/>
      <c r="D241" s="142" t="s">
        <v>187</v>
      </c>
      <c r="F241" s="143" t="s">
        <v>3245</v>
      </c>
      <c r="I241" s="144"/>
      <c r="L241" s="33"/>
      <c r="M241" s="145"/>
      <c r="T241" s="54"/>
      <c r="AT241" s="18" t="s">
        <v>187</v>
      </c>
      <c r="AU241" s="18" t="s">
        <v>87</v>
      </c>
    </row>
    <row r="242" spans="2:47" s="1" customFormat="1" ht="11.25">
      <c r="B242" s="33"/>
      <c r="D242" s="146" t="s">
        <v>189</v>
      </c>
      <c r="F242" s="147" t="s">
        <v>3246</v>
      </c>
      <c r="I242" s="144"/>
      <c r="L242" s="33"/>
      <c r="M242" s="145"/>
      <c r="T242" s="54"/>
      <c r="AT242" s="18" t="s">
        <v>189</v>
      </c>
      <c r="AU242" s="18" t="s">
        <v>87</v>
      </c>
    </row>
    <row r="243" spans="2:47" s="1" customFormat="1" ht="136.5">
      <c r="B243" s="33"/>
      <c r="D243" s="142" t="s">
        <v>191</v>
      </c>
      <c r="F243" s="148" t="s">
        <v>2279</v>
      </c>
      <c r="I243" s="144"/>
      <c r="L243" s="33"/>
      <c r="M243" s="145"/>
      <c r="T243" s="54"/>
      <c r="AT243" s="18" t="s">
        <v>191</v>
      </c>
      <c r="AU243" s="18" t="s">
        <v>87</v>
      </c>
    </row>
    <row r="244" spans="2:65" s="1" customFormat="1" ht="24.2" customHeight="1">
      <c r="B244" s="128"/>
      <c r="C244" s="179" t="s">
        <v>512</v>
      </c>
      <c r="D244" s="179" t="s">
        <v>484</v>
      </c>
      <c r="E244" s="180" t="s">
        <v>3247</v>
      </c>
      <c r="F244" s="181" t="s">
        <v>3248</v>
      </c>
      <c r="G244" s="182" t="s">
        <v>236</v>
      </c>
      <c r="H244" s="183">
        <v>2</v>
      </c>
      <c r="I244" s="184"/>
      <c r="J244" s="185">
        <f>ROUND(I244*H244,2)</f>
        <v>0</v>
      </c>
      <c r="K244" s="181" t="s">
        <v>244</v>
      </c>
      <c r="L244" s="186"/>
      <c r="M244" s="187" t="s">
        <v>3</v>
      </c>
      <c r="N244" s="188" t="s">
        <v>48</v>
      </c>
      <c r="P244" s="138">
        <f>O244*H244</f>
        <v>0</v>
      </c>
      <c r="Q244" s="138">
        <v>0.0205</v>
      </c>
      <c r="R244" s="138">
        <f>Q244*H244</f>
        <v>0.041</v>
      </c>
      <c r="S244" s="138">
        <v>0</v>
      </c>
      <c r="T244" s="139">
        <f>S244*H244</f>
        <v>0</v>
      </c>
      <c r="AR244" s="140" t="s">
        <v>537</v>
      </c>
      <c r="AT244" s="140" t="s">
        <v>484</v>
      </c>
      <c r="AU244" s="140" t="s">
        <v>87</v>
      </c>
      <c r="AY244" s="18" t="s">
        <v>177</v>
      </c>
      <c r="BE244" s="141">
        <f>IF(N244="základní",J244,0)</f>
        <v>0</v>
      </c>
      <c r="BF244" s="141">
        <f>IF(N244="snížená",J244,0)</f>
        <v>0</v>
      </c>
      <c r="BG244" s="141">
        <f>IF(N244="zákl. přenesená",J244,0)</f>
        <v>0</v>
      </c>
      <c r="BH244" s="141">
        <f>IF(N244="sníž. přenesená",J244,0)</f>
        <v>0</v>
      </c>
      <c r="BI244" s="141">
        <f>IF(N244="nulová",J244,0)</f>
        <v>0</v>
      </c>
      <c r="BJ244" s="18" t="s">
        <v>85</v>
      </c>
      <c r="BK244" s="141">
        <f>ROUND(I244*H244,2)</f>
        <v>0</v>
      </c>
      <c r="BL244" s="18" t="s">
        <v>237</v>
      </c>
      <c r="BM244" s="140" t="s">
        <v>3249</v>
      </c>
    </row>
    <row r="245" spans="2:47" s="1" customFormat="1" ht="19.5">
      <c r="B245" s="33"/>
      <c r="D245" s="142" t="s">
        <v>187</v>
      </c>
      <c r="F245" s="143" t="s">
        <v>3248</v>
      </c>
      <c r="I245" s="144"/>
      <c r="L245" s="33"/>
      <c r="M245" s="145"/>
      <c r="T245" s="54"/>
      <c r="AT245" s="18" t="s">
        <v>187</v>
      </c>
      <c r="AU245" s="18" t="s">
        <v>87</v>
      </c>
    </row>
    <row r="246" spans="2:65" s="1" customFormat="1" ht="24.2" customHeight="1">
      <c r="B246" s="128"/>
      <c r="C246" s="129" t="s">
        <v>520</v>
      </c>
      <c r="D246" s="129" t="s">
        <v>180</v>
      </c>
      <c r="E246" s="130" t="s">
        <v>3250</v>
      </c>
      <c r="F246" s="131" t="s">
        <v>3251</v>
      </c>
      <c r="G246" s="132" t="s">
        <v>236</v>
      </c>
      <c r="H246" s="133">
        <v>1</v>
      </c>
      <c r="I246" s="134"/>
      <c r="J246" s="135">
        <f>ROUND(I246*H246,2)</f>
        <v>0</v>
      </c>
      <c r="K246" s="131" t="s">
        <v>184</v>
      </c>
      <c r="L246" s="33"/>
      <c r="M246" s="136" t="s">
        <v>3</v>
      </c>
      <c r="N246" s="137" t="s">
        <v>48</v>
      </c>
      <c r="P246" s="138">
        <f>O246*H246</f>
        <v>0</v>
      </c>
      <c r="Q246" s="138">
        <v>0</v>
      </c>
      <c r="R246" s="138">
        <f>Q246*H246</f>
        <v>0</v>
      </c>
      <c r="S246" s="138">
        <v>0</v>
      </c>
      <c r="T246" s="139">
        <f>S246*H246</f>
        <v>0</v>
      </c>
      <c r="AR246" s="140" t="s">
        <v>237</v>
      </c>
      <c r="AT246" s="140" t="s">
        <v>180</v>
      </c>
      <c r="AU246" s="140" t="s">
        <v>87</v>
      </c>
      <c r="AY246" s="18" t="s">
        <v>177</v>
      </c>
      <c r="BE246" s="141">
        <f>IF(N246="základní",J246,0)</f>
        <v>0</v>
      </c>
      <c r="BF246" s="141">
        <f>IF(N246="snížená",J246,0)</f>
        <v>0</v>
      </c>
      <c r="BG246" s="141">
        <f>IF(N246="zákl. přenesená",J246,0)</f>
        <v>0</v>
      </c>
      <c r="BH246" s="141">
        <f>IF(N246="sníž. přenesená",J246,0)</f>
        <v>0</v>
      </c>
      <c r="BI246" s="141">
        <f>IF(N246="nulová",J246,0)</f>
        <v>0</v>
      </c>
      <c r="BJ246" s="18" t="s">
        <v>85</v>
      </c>
      <c r="BK246" s="141">
        <f>ROUND(I246*H246,2)</f>
        <v>0</v>
      </c>
      <c r="BL246" s="18" t="s">
        <v>237</v>
      </c>
      <c r="BM246" s="140" t="s">
        <v>3252</v>
      </c>
    </row>
    <row r="247" spans="2:47" s="1" customFormat="1" ht="29.25">
      <c r="B247" s="33"/>
      <c r="D247" s="142" t="s">
        <v>187</v>
      </c>
      <c r="F247" s="143" t="s">
        <v>3253</v>
      </c>
      <c r="I247" s="144"/>
      <c r="L247" s="33"/>
      <c r="M247" s="145"/>
      <c r="T247" s="54"/>
      <c r="AT247" s="18" t="s">
        <v>187</v>
      </c>
      <c r="AU247" s="18" t="s">
        <v>87</v>
      </c>
    </row>
    <row r="248" spans="2:47" s="1" customFormat="1" ht="11.25">
      <c r="B248" s="33"/>
      <c r="D248" s="146" t="s">
        <v>189</v>
      </c>
      <c r="F248" s="147" t="s">
        <v>3254</v>
      </c>
      <c r="I248" s="144"/>
      <c r="L248" s="33"/>
      <c r="M248" s="145"/>
      <c r="T248" s="54"/>
      <c r="AT248" s="18" t="s">
        <v>189</v>
      </c>
      <c r="AU248" s="18" t="s">
        <v>87</v>
      </c>
    </row>
    <row r="249" spans="2:65" s="1" customFormat="1" ht="24.2" customHeight="1">
      <c r="B249" s="128"/>
      <c r="C249" s="179" t="s">
        <v>527</v>
      </c>
      <c r="D249" s="179" t="s">
        <v>484</v>
      </c>
      <c r="E249" s="180" t="s">
        <v>3255</v>
      </c>
      <c r="F249" s="181" t="s">
        <v>3256</v>
      </c>
      <c r="G249" s="182" t="s">
        <v>236</v>
      </c>
      <c r="H249" s="183">
        <v>1</v>
      </c>
      <c r="I249" s="184"/>
      <c r="J249" s="185">
        <f>ROUND(I249*H249,2)</f>
        <v>0</v>
      </c>
      <c r="K249" s="181" t="s">
        <v>3</v>
      </c>
      <c r="L249" s="186"/>
      <c r="M249" s="187" t="s">
        <v>3</v>
      </c>
      <c r="N249" s="188" t="s">
        <v>48</v>
      </c>
      <c r="P249" s="138">
        <f>O249*H249</f>
        <v>0</v>
      </c>
      <c r="Q249" s="138">
        <v>0.036</v>
      </c>
      <c r="R249" s="138">
        <f>Q249*H249</f>
        <v>0.036</v>
      </c>
      <c r="S249" s="138">
        <v>0</v>
      </c>
      <c r="T249" s="139">
        <f>S249*H249</f>
        <v>0</v>
      </c>
      <c r="AR249" s="140" t="s">
        <v>537</v>
      </c>
      <c r="AT249" s="140" t="s">
        <v>484</v>
      </c>
      <c r="AU249" s="140" t="s">
        <v>87</v>
      </c>
      <c r="AY249" s="18" t="s">
        <v>177</v>
      </c>
      <c r="BE249" s="141">
        <f>IF(N249="základní",J249,0)</f>
        <v>0</v>
      </c>
      <c r="BF249" s="141">
        <f>IF(N249="snížená",J249,0)</f>
        <v>0</v>
      </c>
      <c r="BG249" s="141">
        <f>IF(N249="zákl. přenesená",J249,0)</f>
        <v>0</v>
      </c>
      <c r="BH249" s="141">
        <f>IF(N249="sníž. přenesená",J249,0)</f>
        <v>0</v>
      </c>
      <c r="BI249" s="141">
        <f>IF(N249="nulová",J249,0)</f>
        <v>0</v>
      </c>
      <c r="BJ249" s="18" t="s">
        <v>85</v>
      </c>
      <c r="BK249" s="141">
        <f>ROUND(I249*H249,2)</f>
        <v>0</v>
      </c>
      <c r="BL249" s="18" t="s">
        <v>237</v>
      </c>
      <c r="BM249" s="140" t="s">
        <v>3257</v>
      </c>
    </row>
    <row r="250" spans="2:47" s="1" customFormat="1" ht="19.5">
      <c r="B250" s="33"/>
      <c r="D250" s="142" t="s">
        <v>187</v>
      </c>
      <c r="F250" s="143" t="s">
        <v>3256</v>
      </c>
      <c r="I250" s="144"/>
      <c r="L250" s="33"/>
      <c r="M250" s="145"/>
      <c r="T250" s="54"/>
      <c r="AT250" s="18" t="s">
        <v>187</v>
      </c>
      <c r="AU250" s="18" t="s">
        <v>87</v>
      </c>
    </row>
    <row r="251" spans="2:65" s="1" customFormat="1" ht="24.2" customHeight="1">
      <c r="B251" s="128"/>
      <c r="C251" s="129" t="s">
        <v>537</v>
      </c>
      <c r="D251" s="129" t="s">
        <v>180</v>
      </c>
      <c r="E251" s="130" t="s">
        <v>3258</v>
      </c>
      <c r="F251" s="131" t="s">
        <v>3259</v>
      </c>
      <c r="G251" s="132" t="s">
        <v>236</v>
      </c>
      <c r="H251" s="133">
        <v>1</v>
      </c>
      <c r="I251" s="134"/>
      <c r="J251" s="135">
        <f>ROUND(I251*H251,2)</f>
        <v>0</v>
      </c>
      <c r="K251" s="131" t="s">
        <v>184</v>
      </c>
      <c r="L251" s="33"/>
      <c r="M251" s="136" t="s">
        <v>3</v>
      </c>
      <c r="N251" s="137" t="s">
        <v>48</v>
      </c>
      <c r="P251" s="138">
        <f>O251*H251</f>
        <v>0</v>
      </c>
      <c r="Q251" s="138">
        <v>0</v>
      </c>
      <c r="R251" s="138">
        <f>Q251*H251</f>
        <v>0</v>
      </c>
      <c r="S251" s="138">
        <v>0</v>
      </c>
      <c r="T251" s="139">
        <f>S251*H251</f>
        <v>0</v>
      </c>
      <c r="AR251" s="140" t="s">
        <v>237</v>
      </c>
      <c r="AT251" s="140" t="s">
        <v>180</v>
      </c>
      <c r="AU251" s="140" t="s">
        <v>87</v>
      </c>
      <c r="AY251" s="18" t="s">
        <v>177</v>
      </c>
      <c r="BE251" s="141">
        <f>IF(N251="základní",J251,0)</f>
        <v>0</v>
      </c>
      <c r="BF251" s="141">
        <f>IF(N251="snížená",J251,0)</f>
        <v>0</v>
      </c>
      <c r="BG251" s="141">
        <f>IF(N251="zákl. přenesená",J251,0)</f>
        <v>0</v>
      </c>
      <c r="BH251" s="141">
        <f>IF(N251="sníž. přenesená",J251,0)</f>
        <v>0</v>
      </c>
      <c r="BI251" s="141">
        <f>IF(N251="nulová",J251,0)</f>
        <v>0</v>
      </c>
      <c r="BJ251" s="18" t="s">
        <v>85</v>
      </c>
      <c r="BK251" s="141">
        <f>ROUND(I251*H251,2)</f>
        <v>0</v>
      </c>
      <c r="BL251" s="18" t="s">
        <v>237</v>
      </c>
      <c r="BM251" s="140" t="s">
        <v>3260</v>
      </c>
    </row>
    <row r="252" spans="2:47" s="1" customFormat="1" ht="19.5">
      <c r="B252" s="33"/>
      <c r="D252" s="142" t="s">
        <v>187</v>
      </c>
      <c r="F252" s="143" t="s">
        <v>3261</v>
      </c>
      <c r="I252" s="144"/>
      <c r="L252" s="33"/>
      <c r="M252" s="145"/>
      <c r="T252" s="54"/>
      <c r="AT252" s="18" t="s">
        <v>187</v>
      </c>
      <c r="AU252" s="18" t="s">
        <v>87</v>
      </c>
    </row>
    <row r="253" spans="2:47" s="1" customFormat="1" ht="11.25">
      <c r="B253" s="33"/>
      <c r="D253" s="146" t="s">
        <v>189</v>
      </c>
      <c r="F253" s="147" t="s">
        <v>3262</v>
      </c>
      <c r="I253" s="144"/>
      <c r="L253" s="33"/>
      <c r="M253" s="145"/>
      <c r="T253" s="54"/>
      <c r="AT253" s="18" t="s">
        <v>189</v>
      </c>
      <c r="AU253" s="18" t="s">
        <v>87</v>
      </c>
    </row>
    <row r="254" spans="2:47" s="1" customFormat="1" ht="136.5">
      <c r="B254" s="33"/>
      <c r="D254" s="142" t="s">
        <v>191</v>
      </c>
      <c r="F254" s="148" t="s">
        <v>2279</v>
      </c>
      <c r="I254" s="144"/>
      <c r="L254" s="33"/>
      <c r="M254" s="145"/>
      <c r="T254" s="54"/>
      <c r="AT254" s="18" t="s">
        <v>191</v>
      </c>
      <c r="AU254" s="18" t="s">
        <v>87</v>
      </c>
    </row>
    <row r="255" spans="2:65" s="1" customFormat="1" ht="37.9" customHeight="1">
      <c r="B255" s="128"/>
      <c r="C255" s="179" t="s">
        <v>756</v>
      </c>
      <c r="D255" s="179" t="s">
        <v>484</v>
      </c>
      <c r="E255" s="180" t="s">
        <v>3263</v>
      </c>
      <c r="F255" s="181" t="s">
        <v>3264</v>
      </c>
      <c r="G255" s="182" t="s">
        <v>236</v>
      </c>
      <c r="H255" s="183">
        <v>1</v>
      </c>
      <c r="I255" s="184"/>
      <c r="J255" s="185">
        <f>ROUND(I255*H255,2)</f>
        <v>0</v>
      </c>
      <c r="K255" s="181" t="s">
        <v>184</v>
      </c>
      <c r="L255" s="186"/>
      <c r="M255" s="187" t="s">
        <v>3</v>
      </c>
      <c r="N255" s="188" t="s">
        <v>48</v>
      </c>
      <c r="P255" s="138">
        <f>O255*H255</f>
        <v>0</v>
      </c>
      <c r="Q255" s="138">
        <v>0.0195</v>
      </c>
      <c r="R255" s="138">
        <f>Q255*H255</f>
        <v>0.0195</v>
      </c>
      <c r="S255" s="138">
        <v>0</v>
      </c>
      <c r="T255" s="139">
        <f>S255*H255</f>
        <v>0</v>
      </c>
      <c r="AR255" s="140" t="s">
        <v>537</v>
      </c>
      <c r="AT255" s="140" t="s">
        <v>484</v>
      </c>
      <c r="AU255" s="140" t="s">
        <v>87</v>
      </c>
      <c r="AY255" s="18" t="s">
        <v>177</v>
      </c>
      <c r="BE255" s="141">
        <f>IF(N255="základní",J255,0)</f>
        <v>0</v>
      </c>
      <c r="BF255" s="141">
        <f>IF(N255="snížená",J255,0)</f>
        <v>0</v>
      </c>
      <c r="BG255" s="141">
        <f>IF(N255="zákl. přenesená",J255,0)</f>
        <v>0</v>
      </c>
      <c r="BH255" s="141">
        <f>IF(N255="sníž. přenesená",J255,0)</f>
        <v>0</v>
      </c>
      <c r="BI255" s="141">
        <f>IF(N255="nulová",J255,0)</f>
        <v>0</v>
      </c>
      <c r="BJ255" s="18" t="s">
        <v>85</v>
      </c>
      <c r="BK255" s="141">
        <f>ROUND(I255*H255,2)</f>
        <v>0</v>
      </c>
      <c r="BL255" s="18" t="s">
        <v>237</v>
      </c>
      <c r="BM255" s="140" t="s">
        <v>3265</v>
      </c>
    </row>
    <row r="256" spans="2:47" s="1" customFormat="1" ht="19.5">
      <c r="B256" s="33"/>
      <c r="D256" s="142" t="s">
        <v>187</v>
      </c>
      <c r="F256" s="143" t="s">
        <v>3266</v>
      </c>
      <c r="I256" s="144"/>
      <c r="L256" s="33"/>
      <c r="M256" s="145"/>
      <c r="T256" s="54"/>
      <c r="AT256" s="18" t="s">
        <v>187</v>
      </c>
      <c r="AU256" s="18" t="s">
        <v>87</v>
      </c>
    </row>
    <row r="257" spans="2:65" s="1" customFormat="1" ht="24.2" customHeight="1">
      <c r="B257" s="128"/>
      <c r="C257" s="129" t="s">
        <v>763</v>
      </c>
      <c r="D257" s="129" t="s">
        <v>180</v>
      </c>
      <c r="E257" s="130" t="s">
        <v>3267</v>
      </c>
      <c r="F257" s="131" t="s">
        <v>3268</v>
      </c>
      <c r="G257" s="132" t="s">
        <v>236</v>
      </c>
      <c r="H257" s="133">
        <v>1</v>
      </c>
      <c r="I257" s="134"/>
      <c r="J257" s="135">
        <f>ROUND(I257*H257,2)</f>
        <v>0</v>
      </c>
      <c r="K257" s="131" t="s">
        <v>184</v>
      </c>
      <c r="L257" s="33"/>
      <c r="M257" s="136" t="s">
        <v>3</v>
      </c>
      <c r="N257" s="137" t="s">
        <v>48</v>
      </c>
      <c r="P257" s="138">
        <f>O257*H257</f>
        <v>0</v>
      </c>
      <c r="Q257" s="138">
        <v>0</v>
      </c>
      <c r="R257" s="138">
        <f>Q257*H257</f>
        <v>0</v>
      </c>
      <c r="S257" s="138">
        <v>0</v>
      </c>
      <c r="T257" s="139">
        <f>S257*H257</f>
        <v>0</v>
      </c>
      <c r="AR257" s="140" t="s">
        <v>237</v>
      </c>
      <c r="AT257" s="140" t="s">
        <v>180</v>
      </c>
      <c r="AU257" s="140" t="s">
        <v>87</v>
      </c>
      <c r="AY257" s="18" t="s">
        <v>177</v>
      </c>
      <c r="BE257" s="141">
        <f>IF(N257="základní",J257,0)</f>
        <v>0</v>
      </c>
      <c r="BF257" s="141">
        <f>IF(N257="snížená",J257,0)</f>
        <v>0</v>
      </c>
      <c r="BG257" s="141">
        <f>IF(N257="zákl. přenesená",J257,0)</f>
        <v>0</v>
      </c>
      <c r="BH257" s="141">
        <f>IF(N257="sníž. přenesená",J257,0)</f>
        <v>0</v>
      </c>
      <c r="BI257" s="141">
        <f>IF(N257="nulová",J257,0)</f>
        <v>0</v>
      </c>
      <c r="BJ257" s="18" t="s">
        <v>85</v>
      </c>
      <c r="BK257" s="141">
        <f>ROUND(I257*H257,2)</f>
        <v>0</v>
      </c>
      <c r="BL257" s="18" t="s">
        <v>237</v>
      </c>
      <c r="BM257" s="140" t="s">
        <v>3269</v>
      </c>
    </row>
    <row r="258" spans="2:47" s="1" customFormat="1" ht="19.5">
      <c r="B258" s="33"/>
      <c r="D258" s="142" t="s">
        <v>187</v>
      </c>
      <c r="F258" s="143" t="s">
        <v>3270</v>
      </c>
      <c r="I258" s="144"/>
      <c r="L258" s="33"/>
      <c r="M258" s="145"/>
      <c r="T258" s="54"/>
      <c r="AT258" s="18" t="s">
        <v>187</v>
      </c>
      <c r="AU258" s="18" t="s">
        <v>87</v>
      </c>
    </row>
    <row r="259" spans="2:47" s="1" customFormat="1" ht="11.25">
      <c r="B259" s="33"/>
      <c r="D259" s="146" t="s">
        <v>189</v>
      </c>
      <c r="F259" s="147" t="s">
        <v>3271</v>
      </c>
      <c r="I259" s="144"/>
      <c r="L259" s="33"/>
      <c r="M259" s="145"/>
      <c r="T259" s="54"/>
      <c r="AT259" s="18" t="s">
        <v>189</v>
      </c>
      <c r="AU259" s="18" t="s">
        <v>87</v>
      </c>
    </row>
    <row r="260" spans="2:47" s="1" customFormat="1" ht="136.5">
      <c r="B260" s="33"/>
      <c r="D260" s="142" t="s">
        <v>191</v>
      </c>
      <c r="F260" s="148" t="s">
        <v>2279</v>
      </c>
      <c r="I260" s="144"/>
      <c r="L260" s="33"/>
      <c r="M260" s="145"/>
      <c r="T260" s="54"/>
      <c r="AT260" s="18" t="s">
        <v>191</v>
      </c>
      <c r="AU260" s="18" t="s">
        <v>87</v>
      </c>
    </row>
    <row r="261" spans="2:65" s="1" customFormat="1" ht="37.9" customHeight="1">
      <c r="B261" s="128"/>
      <c r="C261" s="179" t="s">
        <v>771</v>
      </c>
      <c r="D261" s="179" t="s">
        <v>484</v>
      </c>
      <c r="E261" s="180" t="s">
        <v>3272</v>
      </c>
      <c r="F261" s="181" t="s">
        <v>3273</v>
      </c>
      <c r="G261" s="182" t="s">
        <v>236</v>
      </c>
      <c r="H261" s="183">
        <v>1</v>
      </c>
      <c r="I261" s="184"/>
      <c r="J261" s="185">
        <f>ROUND(I261*H261,2)</f>
        <v>0</v>
      </c>
      <c r="K261" s="181" t="s">
        <v>184</v>
      </c>
      <c r="L261" s="186"/>
      <c r="M261" s="187" t="s">
        <v>3</v>
      </c>
      <c r="N261" s="188" t="s">
        <v>48</v>
      </c>
      <c r="P261" s="138">
        <f>O261*H261</f>
        <v>0</v>
      </c>
      <c r="Q261" s="138">
        <v>0.043</v>
      </c>
      <c r="R261" s="138">
        <f>Q261*H261</f>
        <v>0.043</v>
      </c>
      <c r="S261" s="138">
        <v>0</v>
      </c>
      <c r="T261" s="139">
        <f>S261*H261</f>
        <v>0</v>
      </c>
      <c r="AR261" s="140" t="s">
        <v>537</v>
      </c>
      <c r="AT261" s="140" t="s">
        <v>484</v>
      </c>
      <c r="AU261" s="140" t="s">
        <v>87</v>
      </c>
      <c r="AY261" s="18" t="s">
        <v>177</v>
      </c>
      <c r="BE261" s="141">
        <f>IF(N261="základní",J261,0)</f>
        <v>0</v>
      </c>
      <c r="BF261" s="141">
        <f>IF(N261="snížená",J261,0)</f>
        <v>0</v>
      </c>
      <c r="BG261" s="141">
        <f>IF(N261="zákl. přenesená",J261,0)</f>
        <v>0</v>
      </c>
      <c r="BH261" s="141">
        <f>IF(N261="sníž. přenesená",J261,0)</f>
        <v>0</v>
      </c>
      <c r="BI261" s="141">
        <f>IF(N261="nulová",J261,0)</f>
        <v>0</v>
      </c>
      <c r="BJ261" s="18" t="s">
        <v>85</v>
      </c>
      <c r="BK261" s="141">
        <f>ROUND(I261*H261,2)</f>
        <v>0</v>
      </c>
      <c r="BL261" s="18" t="s">
        <v>237</v>
      </c>
      <c r="BM261" s="140" t="s">
        <v>3274</v>
      </c>
    </row>
    <row r="262" spans="2:47" s="1" customFormat="1" ht="19.5">
      <c r="B262" s="33"/>
      <c r="D262" s="142" t="s">
        <v>187</v>
      </c>
      <c r="F262" s="143" t="s">
        <v>3275</v>
      </c>
      <c r="I262" s="144"/>
      <c r="L262" s="33"/>
      <c r="M262" s="145"/>
      <c r="T262" s="54"/>
      <c r="AT262" s="18" t="s">
        <v>187</v>
      </c>
      <c r="AU262" s="18" t="s">
        <v>87</v>
      </c>
    </row>
    <row r="263" spans="2:65" s="1" customFormat="1" ht="24.2" customHeight="1">
      <c r="B263" s="128"/>
      <c r="C263" s="129" t="s">
        <v>780</v>
      </c>
      <c r="D263" s="129" t="s">
        <v>180</v>
      </c>
      <c r="E263" s="130" t="s">
        <v>3276</v>
      </c>
      <c r="F263" s="131" t="s">
        <v>3277</v>
      </c>
      <c r="G263" s="132" t="s">
        <v>236</v>
      </c>
      <c r="H263" s="133">
        <v>9</v>
      </c>
      <c r="I263" s="134"/>
      <c r="J263" s="135">
        <f>ROUND(I263*H263,2)</f>
        <v>0</v>
      </c>
      <c r="K263" s="131" t="s">
        <v>184</v>
      </c>
      <c r="L263" s="33"/>
      <c r="M263" s="136" t="s">
        <v>3</v>
      </c>
      <c r="N263" s="137" t="s">
        <v>48</v>
      </c>
      <c r="P263" s="138">
        <f>O263*H263</f>
        <v>0</v>
      </c>
      <c r="Q263" s="138">
        <v>0</v>
      </c>
      <c r="R263" s="138">
        <f>Q263*H263</f>
        <v>0</v>
      </c>
      <c r="S263" s="138">
        <v>0</v>
      </c>
      <c r="T263" s="139">
        <f>S263*H263</f>
        <v>0</v>
      </c>
      <c r="AR263" s="140" t="s">
        <v>237</v>
      </c>
      <c r="AT263" s="140" t="s">
        <v>180</v>
      </c>
      <c r="AU263" s="140" t="s">
        <v>87</v>
      </c>
      <c r="AY263" s="18" t="s">
        <v>177</v>
      </c>
      <c r="BE263" s="141">
        <f>IF(N263="základní",J263,0)</f>
        <v>0</v>
      </c>
      <c r="BF263" s="141">
        <f>IF(N263="snížená",J263,0)</f>
        <v>0</v>
      </c>
      <c r="BG263" s="141">
        <f>IF(N263="zákl. přenesená",J263,0)</f>
        <v>0</v>
      </c>
      <c r="BH263" s="141">
        <f>IF(N263="sníž. přenesená",J263,0)</f>
        <v>0</v>
      </c>
      <c r="BI263" s="141">
        <f>IF(N263="nulová",J263,0)</f>
        <v>0</v>
      </c>
      <c r="BJ263" s="18" t="s">
        <v>85</v>
      </c>
      <c r="BK263" s="141">
        <f>ROUND(I263*H263,2)</f>
        <v>0</v>
      </c>
      <c r="BL263" s="18" t="s">
        <v>237</v>
      </c>
      <c r="BM263" s="140" t="s">
        <v>3278</v>
      </c>
    </row>
    <row r="264" spans="2:47" s="1" customFormat="1" ht="19.5">
      <c r="B264" s="33"/>
      <c r="D264" s="142" t="s">
        <v>187</v>
      </c>
      <c r="F264" s="143" t="s">
        <v>3279</v>
      </c>
      <c r="I264" s="144"/>
      <c r="L264" s="33"/>
      <c r="M264" s="145"/>
      <c r="T264" s="54"/>
      <c r="AT264" s="18" t="s">
        <v>187</v>
      </c>
      <c r="AU264" s="18" t="s">
        <v>87</v>
      </c>
    </row>
    <row r="265" spans="2:47" s="1" customFormat="1" ht="11.25">
      <c r="B265" s="33"/>
      <c r="D265" s="146" t="s">
        <v>189</v>
      </c>
      <c r="F265" s="147" t="s">
        <v>3280</v>
      </c>
      <c r="I265" s="144"/>
      <c r="L265" s="33"/>
      <c r="M265" s="145"/>
      <c r="T265" s="54"/>
      <c r="AT265" s="18" t="s">
        <v>189</v>
      </c>
      <c r="AU265" s="18" t="s">
        <v>87</v>
      </c>
    </row>
    <row r="266" spans="2:47" s="1" customFormat="1" ht="136.5">
      <c r="B266" s="33"/>
      <c r="D266" s="142" t="s">
        <v>191</v>
      </c>
      <c r="F266" s="148" t="s">
        <v>2279</v>
      </c>
      <c r="I266" s="144"/>
      <c r="L266" s="33"/>
      <c r="M266" s="145"/>
      <c r="T266" s="54"/>
      <c r="AT266" s="18" t="s">
        <v>191</v>
      </c>
      <c r="AU266" s="18" t="s">
        <v>87</v>
      </c>
    </row>
    <row r="267" spans="2:65" s="1" customFormat="1" ht="24.2" customHeight="1">
      <c r="B267" s="128"/>
      <c r="C267" s="179" t="s">
        <v>786</v>
      </c>
      <c r="D267" s="179" t="s">
        <v>484</v>
      </c>
      <c r="E267" s="180" t="s">
        <v>3281</v>
      </c>
      <c r="F267" s="181" t="s">
        <v>3282</v>
      </c>
      <c r="G267" s="182" t="s">
        <v>236</v>
      </c>
      <c r="H267" s="183">
        <v>3</v>
      </c>
      <c r="I267" s="184"/>
      <c r="J267" s="185">
        <f>ROUND(I267*H267,2)</f>
        <v>0</v>
      </c>
      <c r="K267" s="181" t="s">
        <v>244</v>
      </c>
      <c r="L267" s="186"/>
      <c r="M267" s="187" t="s">
        <v>3</v>
      </c>
      <c r="N267" s="188" t="s">
        <v>48</v>
      </c>
      <c r="P267" s="138">
        <f>O267*H267</f>
        <v>0</v>
      </c>
      <c r="Q267" s="138">
        <v>0.065</v>
      </c>
      <c r="R267" s="138">
        <f>Q267*H267</f>
        <v>0.195</v>
      </c>
      <c r="S267" s="138">
        <v>0</v>
      </c>
      <c r="T267" s="139">
        <f>S267*H267</f>
        <v>0</v>
      </c>
      <c r="AR267" s="140" t="s">
        <v>537</v>
      </c>
      <c r="AT267" s="140" t="s">
        <v>484</v>
      </c>
      <c r="AU267" s="140" t="s">
        <v>87</v>
      </c>
      <c r="AY267" s="18" t="s">
        <v>177</v>
      </c>
      <c r="BE267" s="141">
        <f>IF(N267="základní",J267,0)</f>
        <v>0</v>
      </c>
      <c r="BF267" s="141">
        <f>IF(N267="snížená",J267,0)</f>
        <v>0</v>
      </c>
      <c r="BG267" s="141">
        <f>IF(N267="zákl. přenesená",J267,0)</f>
        <v>0</v>
      </c>
      <c r="BH267" s="141">
        <f>IF(N267="sníž. přenesená",J267,0)</f>
        <v>0</v>
      </c>
      <c r="BI267" s="141">
        <f>IF(N267="nulová",J267,0)</f>
        <v>0</v>
      </c>
      <c r="BJ267" s="18" t="s">
        <v>85</v>
      </c>
      <c r="BK267" s="141">
        <f>ROUND(I267*H267,2)</f>
        <v>0</v>
      </c>
      <c r="BL267" s="18" t="s">
        <v>237</v>
      </c>
      <c r="BM267" s="140" t="s">
        <v>3283</v>
      </c>
    </row>
    <row r="268" spans="2:47" s="1" customFormat="1" ht="19.5">
      <c r="B268" s="33"/>
      <c r="D268" s="142" t="s">
        <v>187</v>
      </c>
      <c r="F268" s="143" t="s">
        <v>3282</v>
      </c>
      <c r="I268" s="144"/>
      <c r="L268" s="33"/>
      <c r="M268" s="145"/>
      <c r="T268" s="54"/>
      <c r="AT268" s="18" t="s">
        <v>187</v>
      </c>
      <c r="AU268" s="18" t="s">
        <v>87</v>
      </c>
    </row>
    <row r="269" spans="2:65" s="1" customFormat="1" ht="24.2" customHeight="1">
      <c r="B269" s="128"/>
      <c r="C269" s="179" t="s">
        <v>793</v>
      </c>
      <c r="D269" s="179" t="s">
        <v>484</v>
      </c>
      <c r="E269" s="180" t="s">
        <v>3284</v>
      </c>
      <c r="F269" s="181" t="s">
        <v>3285</v>
      </c>
      <c r="G269" s="182" t="s">
        <v>236</v>
      </c>
      <c r="H269" s="183">
        <v>2</v>
      </c>
      <c r="I269" s="184"/>
      <c r="J269" s="185">
        <f>ROUND(I269*H269,2)</f>
        <v>0</v>
      </c>
      <c r="K269" s="181" t="s">
        <v>244</v>
      </c>
      <c r="L269" s="186"/>
      <c r="M269" s="187" t="s">
        <v>3</v>
      </c>
      <c r="N269" s="188" t="s">
        <v>48</v>
      </c>
      <c r="P269" s="138">
        <f>O269*H269</f>
        <v>0</v>
      </c>
      <c r="Q269" s="138">
        <v>0.065</v>
      </c>
      <c r="R269" s="138">
        <f>Q269*H269</f>
        <v>0.13</v>
      </c>
      <c r="S269" s="138">
        <v>0</v>
      </c>
      <c r="T269" s="139">
        <f>S269*H269</f>
        <v>0</v>
      </c>
      <c r="AR269" s="140" t="s">
        <v>537</v>
      </c>
      <c r="AT269" s="140" t="s">
        <v>484</v>
      </c>
      <c r="AU269" s="140" t="s">
        <v>87</v>
      </c>
      <c r="AY269" s="18" t="s">
        <v>177</v>
      </c>
      <c r="BE269" s="141">
        <f>IF(N269="základní",J269,0)</f>
        <v>0</v>
      </c>
      <c r="BF269" s="141">
        <f>IF(N269="snížená",J269,0)</f>
        <v>0</v>
      </c>
      <c r="BG269" s="141">
        <f>IF(N269="zákl. přenesená",J269,0)</f>
        <v>0</v>
      </c>
      <c r="BH269" s="141">
        <f>IF(N269="sníž. přenesená",J269,0)</f>
        <v>0</v>
      </c>
      <c r="BI269" s="141">
        <f>IF(N269="nulová",J269,0)</f>
        <v>0</v>
      </c>
      <c r="BJ269" s="18" t="s">
        <v>85</v>
      </c>
      <c r="BK269" s="141">
        <f>ROUND(I269*H269,2)</f>
        <v>0</v>
      </c>
      <c r="BL269" s="18" t="s">
        <v>237</v>
      </c>
      <c r="BM269" s="140" t="s">
        <v>3286</v>
      </c>
    </row>
    <row r="270" spans="2:47" s="1" customFormat="1" ht="19.5">
      <c r="B270" s="33"/>
      <c r="D270" s="142" t="s">
        <v>187</v>
      </c>
      <c r="F270" s="143" t="s">
        <v>3285</v>
      </c>
      <c r="I270" s="144"/>
      <c r="L270" s="33"/>
      <c r="M270" s="145"/>
      <c r="T270" s="54"/>
      <c r="AT270" s="18" t="s">
        <v>187</v>
      </c>
      <c r="AU270" s="18" t="s">
        <v>87</v>
      </c>
    </row>
    <row r="271" spans="2:65" s="1" customFormat="1" ht="24.2" customHeight="1">
      <c r="B271" s="128"/>
      <c r="C271" s="129" t="s">
        <v>799</v>
      </c>
      <c r="D271" s="129" t="s">
        <v>180</v>
      </c>
      <c r="E271" s="130" t="s">
        <v>3287</v>
      </c>
      <c r="F271" s="131" t="s">
        <v>3288</v>
      </c>
      <c r="G271" s="132" t="s">
        <v>236</v>
      </c>
      <c r="H271" s="133">
        <v>7</v>
      </c>
      <c r="I271" s="134"/>
      <c r="J271" s="135">
        <f>ROUND(I271*H271,2)</f>
        <v>0</v>
      </c>
      <c r="K271" s="131" t="s">
        <v>184</v>
      </c>
      <c r="L271" s="33"/>
      <c r="M271" s="136" t="s">
        <v>3</v>
      </c>
      <c r="N271" s="137" t="s">
        <v>48</v>
      </c>
      <c r="P271" s="138">
        <f>O271*H271</f>
        <v>0</v>
      </c>
      <c r="Q271" s="138">
        <v>0</v>
      </c>
      <c r="R271" s="138">
        <f>Q271*H271</f>
        <v>0</v>
      </c>
      <c r="S271" s="138">
        <v>0</v>
      </c>
      <c r="T271" s="139">
        <f>S271*H271</f>
        <v>0</v>
      </c>
      <c r="AR271" s="140" t="s">
        <v>237</v>
      </c>
      <c r="AT271" s="140" t="s">
        <v>180</v>
      </c>
      <c r="AU271" s="140" t="s">
        <v>87</v>
      </c>
      <c r="AY271" s="18" t="s">
        <v>177</v>
      </c>
      <c r="BE271" s="141">
        <f>IF(N271="základní",J271,0)</f>
        <v>0</v>
      </c>
      <c r="BF271" s="141">
        <f>IF(N271="snížená",J271,0)</f>
        <v>0</v>
      </c>
      <c r="BG271" s="141">
        <f>IF(N271="zákl. přenesená",J271,0)</f>
        <v>0</v>
      </c>
      <c r="BH271" s="141">
        <f>IF(N271="sníž. přenesená",J271,0)</f>
        <v>0</v>
      </c>
      <c r="BI271" s="141">
        <f>IF(N271="nulová",J271,0)</f>
        <v>0</v>
      </c>
      <c r="BJ271" s="18" t="s">
        <v>85</v>
      </c>
      <c r="BK271" s="141">
        <f>ROUND(I271*H271,2)</f>
        <v>0</v>
      </c>
      <c r="BL271" s="18" t="s">
        <v>237</v>
      </c>
      <c r="BM271" s="140" t="s">
        <v>3289</v>
      </c>
    </row>
    <row r="272" spans="2:47" s="1" customFormat="1" ht="11.25">
      <c r="B272" s="33"/>
      <c r="D272" s="142" t="s">
        <v>187</v>
      </c>
      <c r="F272" s="143" t="s">
        <v>3290</v>
      </c>
      <c r="I272" s="144"/>
      <c r="L272" s="33"/>
      <c r="M272" s="145"/>
      <c r="T272" s="54"/>
      <c r="AT272" s="18" t="s">
        <v>187</v>
      </c>
      <c r="AU272" s="18" t="s">
        <v>87</v>
      </c>
    </row>
    <row r="273" spans="2:47" s="1" customFormat="1" ht="11.25">
      <c r="B273" s="33"/>
      <c r="D273" s="146" t="s">
        <v>189</v>
      </c>
      <c r="F273" s="147" t="s">
        <v>3291</v>
      </c>
      <c r="I273" s="144"/>
      <c r="L273" s="33"/>
      <c r="M273" s="145"/>
      <c r="T273" s="54"/>
      <c r="AT273" s="18" t="s">
        <v>189</v>
      </c>
      <c r="AU273" s="18" t="s">
        <v>87</v>
      </c>
    </row>
    <row r="274" spans="2:51" s="12" customFormat="1" ht="11.25">
      <c r="B274" s="149"/>
      <c r="D274" s="142" t="s">
        <v>193</v>
      </c>
      <c r="E274" s="150" t="s">
        <v>3</v>
      </c>
      <c r="F274" s="151" t="s">
        <v>3292</v>
      </c>
      <c r="H274" s="152">
        <v>7</v>
      </c>
      <c r="I274" s="153"/>
      <c r="L274" s="149"/>
      <c r="M274" s="154"/>
      <c r="T274" s="155"/>
      <c r="AT274" s="150" t="s">
        <v>193</v>
      </c>
      <c r="AU274" s="150" t="s">
        <v>87</v>
      </c>
      <c r="AV274" s="12" t="s">
        <v>87</v>
      </c>
      <c r="AW274" s="12" t="s">
        <v>36</v>
      </c>
      <c r="AX274" s="12" t="s">
        <v>85</v>
      </c>
      <c r="AY274" s="150" t="s">
        <v>177</v>
      </c>
    </row>
    <row r="275" spans="2:65" s="1" customFormat="1" ht="16.5" customHeight="1">
      <c r="B275" s="128"/>
      <c r="C275" s="179" t="s">
        <v>1115</v>
      </c>
      <c r="D275" s="179" t="s">
        <v>484</v>
      </c>
      <c r="E275" s="180" t="s">
        <v>3293</v>
      </c>
      <c r="F275" s="181" t="s">
        <v>3294</v>
      </c>
      <c r="G275" s="182" t="s">
        <v>236</v>
      </c>
      <c r="H275" s="183">
        <v>7</v>
      </c>
      <c r="I275" s="184"/>
      <c r="J275" s="185">
        <f>ROUND(I275*H275,2)</f>
        <v>0</v>
      </c>
      <c r="K275" s="181" t="s">
        <v>184</v>
      </c>
      <c r="L275" s="186"/>
      <c r="M275" s="187" t="s">
        <v>3</v>
      </c>
      <c r="N275" s="188" t="s">
        <v>48</v>
      </c>
      <c r="P275" s="138">
        <f>O275*H275</f>
        <v>0</v>
      </c>
      <c r="Q275" s="138">
        <v>0.0024</v>
      </c>
      <c r="R275" s="138">
        <f>Q275*H275</f>
        <v>0.0168</v>
      </c>
      <c r="S275" s="138">
        <v>0</v>
      </c>
      <c r="T275" s="139">
        <f>S275*H275</f>
        <v>0</v>
      </c>
      <c r="AR275" s="140" t="s">
        <v>537</v>
      </c>
      <c r="AT275" s="140" t="s">
        <v>484</v>
      </c>
      <c r="AU275" s="140" t="s">
        <v>87</v>
      </c>
      <c r="AY275" s="18" t="s">
        <v>177</v>
      </c>
      <c r="BE275" s="141">
        <f>IF(N275="základní",J275,0)</f>
        <v>0</v>
      </c>
      <c r="BF275" s="141">
        <f>IF(N275="snížená",J275,0)</f>
        <v>0</v>
      </c>
      <c r="BG275" s="141">
        <f>IF(N275="zákl. přenesená",J275,0)</f>
        <v>0</v>
      </c>
      <c r="BH275" s="141">
        <f>IF(N275="sníž. přenesená",J275,0)</f>
        <v>0</v>
      </c>
      <c r="BI275" s="141">
        <f>IF(N275="nulová",J275,0)</f>
        <v>0</v>
      </c>
      <c r="BJ275" s="18" t="s">
        <v>85</v>
      </c>
      <c r="BK275" s="141">
        <f>ROUND(I275*H275,2)</f>
        <v>0</v>
      </c>
      <c r="BL275" s="18" t="s">
        <v>237</v>
      </c>
      <c r="BM275" s="140" t="s">
        <v>3295</v>
      </c>
    </row>
    <row r="276" spans="2:47" s="1" customFormat="1" ht="11.25">
      <c r="B276" s="33"/>
      <c r="D276" s="142" t="s">
        <v>187</v>
      </c>
      <c r="F276" s="143" t="s">
        <v>3296</v>
      </c>
      <c r="I276" s="144"/>
      <c r="L276" s="33"/>
      <c r="M276" s="145"/>
      <c r="T276" s="54"/>
      <c r="AT276" s="18" t="s">
        <v>187</v>
      </c>
      <c r="AU276" s="18" t="s">
        <v>87</v>
      </c>
    </row>
    <row r="277" spans="2:65" s="1" customFormat="1" ht="16.5" customHeight="1">
      <c r="B277" s="128"/>
      <c r="C277" s="129" t="s">
        <v>1117</v>
      </c>
      <c r="D277" s="129" t="s">
        <v>180</v>
      </c>
      <c r="E277" s="130" t="s">
        <v>3297</v>
      </c>
      <c r="F277" s="131" t="s">
        <v>3298</v>
      </c>
      <c r="G277" s="132" t="s">
        <v>236</v>
      </c>
      <c r="H277" s="133">
        <v>28</v>
      </c>
      <c r="I277" s="134"/>
      <c r="J277" s="135">
        <f>ROUND(I277*H277,2)</f>
        <v>0</v>
      </c>
      <c r="K277" s="131" t="s">
        <v>184</v>
      </c>
      <c r="L277" s="33"/>
      <c r="M277" s="136" t="s">
        <v>3</v>
      </c>
      <c r="N277" s="137" t="s">
        <v>48</v>
      </c>
      <c r="P277" s="138">
        <f>O277*H277</f>
        <v>0</v>
      </c>
      <c r="Q277" s="138">
        <v>0</v>
      </c>
      <c r="R277" s="138">
        <f>Q277*H277</f>
        <v>0</v>
      </c>
      <c r="S277" s="138">
        <v>0</v>
      </c>
      <c r="T277" s="139">
        <f>S277*H277</f>
        <v>0</v>
      </c>
      <c r="AR277" s="140" t="s">
        <v>237</v>
      </c>
      <c r="AT277" s="140" t="s">
        <v>180</v>
      </c>
      <c r="AU277" s="140" t="s">
        <v>87</v>
      </c>
      <c r="AY277" s="18" t="s">
        <v>177</v>
      </c>
      <c r="BE277" s="141">
        <f>IF(N277="základní",J277,0)</f>
        <v>0</v>
      </c>
      <c r="BF277" s="141">
        <f>IF(N277="snížená",J277,0)</f>
        <v>0</v>
      </c>
      <c r="BG277" s="141">
        <f>IF(N277="zákl. přenesená",J277,0)</f>
        <v>0</v>
      </c>
      <c r="BH277" s="141">
        <f>IF(N277="sníž. přenesená",J277,0)</f>
        <v>0</v>
      </c>
      <c r="BI277" s="141">
        <f>IF(N277="nulová",J277,0)</f>
        <v>0</v>
      </c>
      <c r="BJ277" s="18" t="s">
        <v>85</v>
      </c>
      <c r="BK277" s="141">
        <f>ROUND(I277*H277,2)</f>
        <v>0</v>
      </c>
      <c r="BL277" s="18" t="s">
        <v>237</v>
      </c>
      <c r="BM277" s="140" t="s">
        <v>3299</v>
      </c>
    </row>
    <row r="278" spans="2:47" s="1" customFormat="1" ht="11.25">
      <c r="B278" s="33"/>
      <c r="D278" s="142" t="s">
        <v>187</v>
      </c>
      <c r="F278" s="143" t="s">
        <v>3300</v>
      </c>
      <c r="I278" s="144"/>
      <c r="L278" s="33"/>
      <c r="M278" s="145"/>
      <c r="T278" s="54"/>
      <c r="AT278" s="18" t="s">
        <v>187</v>
      </c>
      <c r="AU278" s="18" t="s">
        <v>87</v>
      </c>
    </row>
    <row r="279" spans="2:47" s="1" customFormat="1" ht="11.25">
      <c r="B279" s="33"/>
      <c r="D279" s="146" t="s">
        <v>189</v>
      </c>
      <c r="F279" s="147" t="s">
        <v>3301</v>
      </c>
      <c r="I279" s="144"/>
      <c r="L279" s="33"/>
      <c r="M279" s="145"/>
      <c r="T279" s="54"/>
      <c r="AT279" s="18" t="s">
        <v>189</v>
      </c>
      <c r="AU279" s="18" t="s">
        <v>87</v>
      </c>
    </row>
    <row r="280" spans="2:65" s="1" customFormat="1" ht="21.75" customHeight="1">
      <c r="B280" s="128"/>
      <c r="C280" s="179" t="s">
        <v>1124</v>
      </c>
      <c r="D280" s="179" t="s">
        <v>484</v>
      </c>
      <c r="E280" s="180" t="s">
        <v>3302</v>
      </c>
      <c r="F280" s="181" t="s">
        <v>3303</v>
      </c>
      <c r="G280" s="182" t="s">
        <v>236</v>
      </c>
      <c r="H280" s="183">
        <v>28</v>
      </c>
      <c r="I280" s="184"/>
      <c r="J280" s="185">
        <f>ROUND(I280*H280,2)</f>
        <v>0</v>
      </c>
      <c r="K280" s="181" t="s">
        <v>184</v>
      </c>
      <c r="L280" s="186"/>
      <c r="M280" s="187" t="s">
        <v>3</v>
      </c>
      <c r="N280" s="188" t="s">
        <v>48</v>
      </c>
      <c r="P280" s="138">
        <f>O280*H280</f>
        <v>0</v>
      </c>
      <c r="Q280" s="138">
        <v>0.00015</v>
      </c>
      <c r="R280" s="138">
        <f>Q280*H280</f>
        <v>0.0042</v>
      </c>
      <c r="S280" s="138">
        <v>0</v>
      </c>
      <c r="T280" s="139">
        <f>S280*H280</f>
        <v>0</v>
      </c>
      <c r="AR280" s="140" t="s">
        <v>537</v>
      </c>
      <c r="AT280" s="140" t="s">
        <v>484</v>
      </c>
      <c r="AU280" s="140" t="s">
        <v>87</v>
      </c>
      <c r="AY280" s="18" t="s">
        <v>177</v>
      </c>
      <c r="BE280" s="141">
        <f>IF(N280="základní",J280,0)</f>
        <v>0</v>
      </c>
      <c r="BF280" s="141">
        <f>IF(N280="snížená",J280,0)</f>
        <v>0</v>
      </c>
      <c r="BG280" s="141">
        <f>IF(N280="zákl. přenesená",J280,0)</f>
        <v>0</v>
      </c>
      <c r="BH280" s="141">
        <f>IF(N280="sníž. přenesená",J280,0)</f>
        <v>0</v>
      </c>
      <c r="BI280" s="141">
        <f>IF(N280="nulová",J280,0)</f>
        <v>0</v>
      </c>
      <c r="BJ280" s="18" t="s">
        <v>85</v>
      </c>
      <c r="BK280" s="141">
        <f>ROUND(I280*H280,2)</f>
        <v>0</v>
      </c>
      <c r="BL280" s="18" t="s">
        <v>237</v>
      </c>
      <c r="BM280" s="140" t="s">
        <v>3304</v>
      </c>
    </row>
    <row r="281" spans="2:47" s="1" customFormat="1" ht="11.25">
      <c r="B281" s="33"/>
      <c r="D281" s="142" t="s">
        <v>187</v>
      </c>
      <c r="F281" s="143" t="s">
        <v>3305</v>
      </c>
      <c r="I281" s="144"/>
      <c r="L281" s="33"/>
      <c r="M281" s="145"/>
      <c r="T281" s="54"/>
      <c r="AT281" s="18" t="s">
        <v>187</v>
      </c>
      <c r="AU281" s="18" t="s">
        <v>87</v>
      </c>
    </row>
    <row r="282" spans="2:65" s="1" customFormat="1" ht="21.75" customHeight="1">
      <c r="B282" s="128"/>
      <c r="C282" s="129" t="s">
        <v>1130</v>
      </c>
      <c r="D282" s="129" t="s">
        <v>180</v>
      </c>
      <c r="E282" s="130" t="s">
        <v>3306</v>
      </c>
      <c r="F282" s="131" t="s">
        <v>3307</v>
      </c>
      <c r="G282" s="132" t="s">
        <v>236</v>
      </c>
      <c r="H282" s="133">
        <v>28</v>
      </c>
      <c r="I282" s="134"/>
      <c r="J282" s="135">
        <f>ROUND(I282*H282,2)</f>
        <v>0</v>
      </c>
      <c r="K282" s="131" t="s">
        <v>184</v>
      </c>
      <c r="L282" s="33"/>
      <c r="M282" s="136" t="s">
        <v>3</v>
      </c>
      <c r="N282" s="137" t="s">
        <v>48</v>
      </c>
      <c r="P282" s="138">
        <f>O282*H282</f>
        <v>0</v>
      </c>
      <c r="Q282" s="138">
        <v>0</v>
      </c>
      <c r="R282" s="138">
        <f>Q282*H282</f>
        <v>0</v>
      </c>
      <c r="S282" s="138">
        <v>0</v>
      </c>
      <c r="T282" s="139">
        <f>S282*H282</f>
        <v>0</v>
      </c>
      <c r="AR282" s="140" t="s">
        <v>237</v>
      </c>
      <c r="AT282" s="140" t="s">
        <v>180</v>
      </c>
      <c r="AU282" s="140" t="s">
        <v>87</v>
      </c>
      <c r="AY282" s="18" t="s">
        <v>177</v>
      </c>
      <c r="BE282" s="141">
        <f>IF(N282="základní",J282,0)</f>
        <v>0</v>
      </c>
      <c r="BF282" s="141">
        <f>IF(N282="snížená",J282,0)</f>
        <v>0</v>
      </c>
      <c r="BG282" s="141">
        <f>IF(N282="zákl. přenesená",J282,0)</f>
        <v>0</v>
      </c>
      <c r="BH282" s="141">
        <f>IF(N282="sníž. přenesená",J282,0)</f>
        <v>0</v>
      </c>
      <c r="BI282" s="141">
        <f>IF(N282="nulová",J282,0)</f>
        <v>0</v>
      </c>
      <c r="BJ282" s="18" t="s">
        <v>85</v>
      </c>
      <c r="BK282" s="141">
        <f>ROUND(I282*H282,2)</f>
        <v>0</v>
      </c>
      <c r="BL282" s="18" t="s">
        <v>237</v>
      </c>
      <c r="BM282" s="140" t="s">
        <v>3308</v>
      </c>
    </row>
    <row r="283" spans="2:47" s="1" customFormat="1" ht="19.5">
      <c r="B283" s="33"/>
      <c r="D283" s="142" t="s">
        <v>187</v>
      </c>
      <c r="F283" s="143" t="s">
        <v>3309</v>
      </c>
      <c r="I283" s="144"/>
      <c r="L283" s="33"/>
      <c r="M283" s="145"/>
      <c r="T283" s="54"/>
      <c r="AT283" s="18" t="s">
        <v>187</v>
      </c>
      <c r="AU283" s="18" t="s">
        <v>87</v>
      </c>
    </row>
    <row r="284" spans="2:47" s="1" customFormat="1" ht="11.25">
      <c r="B284" s="33"/>
      <c r="D284" s="146" t="s">
        <v>189</v>
      </c>
      <c r="F284" s="147" t="s">
        <v>3310</v>
      </c>
      <c r="I284" s="144"/>
      <c r="L284" s="33"/>
      <c r="M284" s="145"/>
      <c r="T284" s="54"/>
      <c r="AT284" s="18" t="s">
        <v>189</v>
      </c>
      <c r="AU284" s="18" t="s">
        <v>87</v>
      </c>
    </row>
    <row r="285" spans="2:51" s="12" customFormat="1" ht="11.25">
      <c r="B285" s="149"/>
      <c r="D285" s="142" t="s">
        <v>193</v>
      </c>
      <c r="E285" s="150" t="s">
        <v>3</v>
      </c>
      <c r="F285" s="151" t="s">
        <v>3311</v>
      </c>
      <c r="H285" s="152">
        <v>28</v>
      </c>
      <c r="I285" s="153"/>
      <c r="L285" s="149"/>
      <c r="M285" s="154"/>
      <c r="T285" s="155"/>
      <c r="AT285" s="150" t="s">
        <v>193</v>
      </c>
      <c r="AU285" s="150" t="s">
        <v>87</v>
      </c>
      <c r="AV285" s="12" t="s">
        <v>87</v>
      </c>
      <c r="AW285" s="12" t="s">
        <v>36</v>
      </c>
      <c r="AX285" s="12" t="s">
        <v>85</v>
      </c>
      <c r="AY285" s="150" t="s">
        <v>177</v>
      </c>
    </row>
    <row r="286" spans="2:65" s="1" customFormat="1" ht="16.5" customHeight="1">
      <c r="B286" s="128"/>
      <c r="C286" s="179" t="s">
        <v>1132</v>
      </c>
      <c r="D286" s="179" t="s">
        <v>484</v>
      </c>
      <c r="E286" s="180" t="s">
        <v>3312</v>
      </c>
      <c r="F286" s="181" t="s">
        <v>3313</v>
      </c>
      <c r="G286" s="182" t="s">
        <v>236</v>
      </c>
      <c r="H286" s="183">
        <v>28</v>
      </c>
      <c r="I286" s="184"/>
      <c r="J286" s="185">
        <f>ROUND(I286*H286,2)</f>
        <v>0</v>
      </c>
      <c r="K286" s="181" t="s">
        <v>184</v>
      </c>
      <c r="L286" s="186"/>
      <c r="M286" s="187" t="s">
        <v>3</v>
      </c>
      <c r="N286" s="188" t="s">
        <v>48</v>
      </c>
      <c r="P286" s="138">
        <f>O286*H286</f>
        <v>0</v>
      </c>
      <c r="Q286" s="138">
        <v>0.0022</v>
      </c>
      <c r="R286" s="138">
        <f>Q286*H286</f>
        <v>0.0616</v>
      </c>
      <c r="S286" s="138">
        <v>0</v>
      </c>
      <c r="T286" s="139">
        <f>S286*H286</f>
        <v>0</v>
      </c>
      <c r="AR286" s="140" t="s">
        <v>537</v>
      </c>
      <c r="AT286" s="140" t="s">
        <v>484</v>
      </c>
      <c r="AU286" s="140" t="s">
        <v>87</v>
      </c>
      <c r="AY286" s="18" t="s">
        <v>177</v>
      </c>
      <c r="BE286" s="141">
        <f>IF(N286="základní",J286,0)</f>
        <v>0</v>
      </c>
      <c r="BF286" s="141">
        <f>IF(N286="snížená",J286,0)</f>
        <v>0</v>
      </c>
      <c r="BG286" s="141">
        <f>IF(N286="zákl. přenesená",J286,0)</f>
        <v>0</v>
      </c>
      <c r="BH286" s="141">
        <f>IF(N286="sníž. přenesená",J286,0)</f>
        <v>0</v>
      </c>
      <c r="BI286" s="141">
        <f>IF(N286="nulová",J286,0)</f>
        <v>0</v>
      </c>
      <c r="BJ286" s="18" t="s">
        <v>85</v>
      </c>
      <c r="BK286" s="141">
        <f>ROUND(I286*H286,2)</f>
        <v>0</v>
      </c>
      <c r="BL286" s="18" t="s">
        <v>237</v>
      </c>
      <c r="BM286" s="140" t="s">
        <v>3314</v>
      </c>
    </row>
    <row r="287" spans="2:47" s="1" customFormat="1" ht="19.5">
      <c r="B287" s="33"/>
      <c r="D287" s="142" t="s">
        <v>187</v>
      </c>
      <c r="F287" s="143" t="s">
        <v>3315</v>
      </c>
      <c r="I287" s="144"/>
      <c r="L287" s="33"/>
      <c r="M287" s="145"/>
      <c r="T287" s="54"/>
      <c r="AT287" s="18" t="s">
        <v>187</v>
      </c>
      <c r="AU287" s="18" t="s">
        <v>87</v>
      </c>
    </row>
    <row r="288" spans="2:65" s="1" customFormat="1" ht="24.2" customHeight="1">
      <c r="B288" s="128"/>
      <c r="C288" s="129" t="s">
        <v>1134</v>
      </c>
      <c r="D288" s="129" t="s">
        <v>180</v>
      </c>
      <c r="E288" s="130" t="s">
        <v>3316</v>
      </c>
      <c r="F288" s="131" t="s">
        <v>3317</v>
      </c>
      <c r="G288" s="132" t="s">
        <v>236</v>
      </c>
      <c r="H288" s="133">
        <v>8</v>
      </c>
      <c r="I288" s="134"/>
      <c r="J288" s="135">
        <f>ROUND(I288*H288,2)</f>
        <v>0</v>
      </c>
      <c r="K288" s="131" t="s">
        <v>184</v>
      </c>
      <c r="L288" s="33"/>
      <c r="M288" s="136" t="s">
        <v>3</v>
      </c>
      <c r="N288" s="137" t="s">
        <v>48</v>
      </c>
      <c r="P288" s="138">
        <f>O288*H288</f>
        <v>0</v>
      </c>
      <c r="Q288" s="138">
        <v>0</v>
      </c>
      <c r="R288" s="138">
        <f>Q288*H288</f>
        <v>0</v>
      </c>
      <c r="S288" s="138">
        <v>0</v>
      </c>
      <c r="T288" s="139">
        <f>S288*H288</f>
        <v>0</v>
      </c>
      <c r="AR288" s="140" t="s">
        <v>237</v>
      </c>
      <c r="AT288" s="140" t="s">
        <v>180</v>
      </c>
      <c r="AU288" s="140" t="s">
        <v>87</v>
      </c>
      <c r="AY288" s="18" t="s">
        <v>177</v>
      </c>
      <c r="BE288" s="141">
        <f>IF(N288="základní",J288,0)</f>
        <v>0</v>
      </c>
      <c r="BF288" s="141">
        <f>IF(N288="snížená",J288,0)</f>
        <v>0</v>
      </c>
      <c r="BG288" s="141">
        <f>IF(N288="zákl. přenesená",J288,0)</f>
        <v>0</v>
      </c>
      <c r="BH288" s="141">
        <f>IF(N288="sníž. přenesená",J288,0)</f>
        <v>0</v>
      </c>
      <c r="BI288" s="141">
        <f>IF(N288="nulová",J288,0)</f>
        <v>0</v>
      </c>
      <c r="BJ288" s="18" t="s">
        <v>85</v>
      </c>
      <c r="BK288" s="141">
        <f>ROUND(I288*H288,2)</f>
        <v>0</v>
      </c>
      <c r="BL288" s="18" t="s">
        <v>237</v>
      </c>
      <c r="BM288" s="140" t="s">
        <v>3318</v>
      </c>
    </row>
    <row r="289" spans="2:47" s="1" customFormat="1" ht="19.5">
      <c r="B289" s="33"/>
      <c r="D289" s="142" t="s">
        <v>187</v>
      </c>
      <c r="F289" s="143" t="s">
        <v>3319</v>
      </c>
      <c r="I289" s="144"/>
      <c r="L289" s="33"/>
      <c r="M289" s="145"/>
      <c r="T289" s="54"/>
      <c r="AT289" s="18" t="s">
        <v>187</v>
      </c>
      <c r="AU289" s="18" t="s">
        <v>87</v>
      </c>
    </row>
    <row r="290" spans="2:47" s="1" customFormat="1" ht="11.25">
      <c r="B290" s="33"/>
      <c r="D290" s="146" t="s">
        <v>189</v>
      </c>
      <c r="F290" s="147" t="s">
        <v>3320</v>
      </c>
      <c r="I290" s="144"/>
      <c r="L290" s="33"/>
      <c r="M290" s="145"/>
      <c r="T290" s="54"/>
      <c r="AT290" s="18" t="s">
        <v>189</v>
      </c>
      <c r="AU290" s="18" t="s">
        <v>87</v>
      </c>
    </row>
    <row r="291" spans="2:47" s="1" customFormat="1" ht="97.5">
      <c r="B291" s="33"/>
      <c r="D291" s="142" t="s">
        <v>191</v>
      </c>
      <c r="F291" s="148" t="s">
        <v>3321</v>
      </c>
      <c r="I291" s="144"/>
      <c r="L291" s="33"/>
      <c r="M291" s="145"/>
      <c r="T291" s="54"/>
      <c r="AT291" s="18" t="s">
        <v>191</v>
      </c>
      <c r="AU291" s="18" t="s">
        <v>87</v>
      </c>
    </row>
    <row r="292" spans="2:65" s="1" customFormat="1" ht="24.2" customHeight="1">
      <c r="B292" s="128"/>
      <c r="C292" s="129" t="s">
        <v>1140</v>
      </c>
      <c r="D292" s="129" t="s">
        <v>180</v>
      </c>
      <c r="E292" s="130" t="s">
        <v>3322</v>
      </c>
      <c r="F292" s="131" t="s">
        <v>3323</v>
      </c>
      <c r="G292" s="132" t="s">
        <v>236</v>
      </c>
      <c r="H292" s="133">
        <v>19</v>
      </c>
      <c r="I292" s="134"/>
      <c r="J292" s="135">
        <f>ROUND(I292*H292,2)</f>
        <v>0</v>
      </c>
      <c r="K292" s="131" t="s">
        <v>184</v>
      </c>
      <c r="L292" s="33"/>
      <c r="M292" s="136" t="s">
        <v>3</v>
      </c>
      <c r="N292" s="137" t="s">
        <v>48</v>
      </c>
      <c r="P292" s="138">
        <f>O292*H292</f>
        <v>0</v>
      </c>
      <c r="Q292" s="138">
        <v>0</v>
      </c>
      <c r="R292" s="138">
        <f>Q292*H292</f>
        <v>0</v>
      </c>
      <c r="S292" s="138">
        <v>0</v>
      </c>
      <c r="T292" s="139">
        <f>S292*H292</f>
        <v>0</v>
      </c>
      <c r="AR292" s="140" t="s">
        <v>237</v>
      </c>
      <c r="AT292" s="140" t="s">
        <v>180</v>
      </c>
      <c r="AU292" s="140" t="s">
        <v>87</v>
      </c>
      <c r="AY292" s="18" t="s">
        <v>177</v>
      </c>
      <c r="BE292" s="141">
        <f>IF(N292="základní",J292,0)</f>
        <v>0</v>
      </c>
      <c r="BF292" s="141">
        <f>IF(N292="snížená",J292,0)</f>
        <v>0</v>
      </c>
      <c r="BG292" s="141">
        <f>IF(N292="zákl. přenesená",J292,0)</f>
        <v>0</v>
      </c>
      <c r="BH292" s="141">
        <f>IF(N292="sníž. přenesená",J292,0)</f>
        <v>0</v>
      </c>
      <c r="BI292" s="141">
        <f>IF(N292="nulová",J292,0)</f>
        <v>0</v>
      </c>
      <c r="BJ292" s="18" t="s">
        <v>85</v>
      </c>
      <c r="BK292" s="141">
        <f>ROUND(I292*H292,2)</f>
        <v>0</v>
      </c>
      <c r="BL292" s="18" t="s">
        <v>237</v>
      </c>
      <c r="BM292" s="140" t="s">
        <v>3324</v>
      </c>
    </row>
    <row r="293" spans="2:47" s="1" customFormat="1" ht="29.25">
      <c r="B293" s="33"/>
      <c r="D293" s="142" t="s">
        <v>187</v>
      </c>
      <c r="F293" s="143" t="s">
        <v>3325</v>
      </c>
      <c r="I293" s="144"/>
      <c r="L293" s="33"/>
      <c r="M293" s="145"/>
      <c r="T293" s="54"/>
      <c r="AT293" s="18" t="s">
        <v>187</v>
      </c>
      <c r="AU293" s="18" t="s">
        <v>87</v>
      </c>
    </row>
    <row r="294" spans="2:47" s="1" customFormat="1" ht="11.25">
      <c r="B294" s="33"/>
      <c r="D294" s="146" t="s">
        <v>189</v>
      </c>
      <c r="F294" s="147" t="s">
        <v>3326</v>
      </c>
      <c r="I294" s="144"/>
      <c r="L294" s="33"/>
      <c r="M294" s="145"/>
      <c r="T294" s="54"/>
      <c r="AT294" s="18" t="s">
        <v>189</v>
      </c>
      <c r="AU294" s="18" t="s">
        <v>87</v>
      </c>
    </row>
    <row r="295" spans="2:47" s="1" customFormat="1" ht="97.5">
      <c r="B295" s="33"/>
      <c r="D295" s="142" t="s">
        <v>191</v>
      </c>
      <c r="F295" s="148" t="s">
        <v>3321</v>
      </c>
      <c r="I295" s="144"/>
      <c r="L295" s="33"/>
      <c r="M295" s="145"/>
      <c r="T295" s="54"/>
      <c r="AT295" s="18" t="s">
        <v>191</v>
      </c>
      <c r="AU295" s="18" t="s">
        <v>87</v>
      </c>
    </row>
    <row r="296" spans="2:51" s="12" customFormat="1" ht="11.25">
      <c r="B296" s="149"/>
      <c r="D296" s="142" t="s">
        <v>193</v>
      </c>
      <c r="E296" s="150" t="s">
        <v>3</v>
      </c>
      <c r="F296" s="151" t="s">
        <v>3327</v>
      </c>
      <c r="H296" s="152">
        <v>11</v>
      </c>
      <c r="I296" s="153"/>
      <c r="L296" s="149"/>
      <c r="M296" s="154"/>
      <c r="T296" s="155"/>
      <c r="AT296" s="150" t="s">
        <v>193</v>
      </c>
      <c r="AU296" s="150" t="s">
        <v>87</v>
      </c>
      <c r="AV296" s="12" t="s">
        <v>87</v>
      </c>
      <c r="AW296" s="12" t="s">
        <v>36</v>
      </c>
      <c r="AX296" s="12" t="s">
        <v>77</v>
      </c>
      <c r="AY296" s="150" t="s">
        <v>177</v>
      </c>
    </row>
    <row r="297" spans="2:51" s="12" customFormat="1" ht="11.25">
      <c r="B297" s="149"/>
      <c r="D297" s="142" t="s">
        <v>193</v>
      </c>
      <c r="E297" s="150" t="s">
        <v>3</v>
      </c>
      <c r="F297" s="151" t="s">
        <v>248</v>
      </c>
      <c r="H297" s="152">
        <v>8</v>
      </c>
      <c r="I297" s="153"/>
      <c r="L297" s="149"/>
      <c r="M297" s="154"/>
      <c r="T297" s="155"/>
      <c r="AT297" s="150" t="s">
        <v>193</v>
      </c>
      <c r="AU297" s="150" t="s">
        <v>87</v>
      </c>
      <c r="AV297" s="12" t="s">
        <v>87</v>
      </c>
      <c r="AW297" s="12" t="s">
        <v>36</v>
      </c>
      <c r="AX297" s="12" t="s">
        <v>77</v>
      </c>
      <c r="AY297" s="150" t="s">
        <v>177</v>
      </c>
    </row>
    <row r="298" spans="2:51" s="15" customFormat="1" ht="11.25">
      <c r="B298" s="169"/>
      <c r="D298" s="142" t="s">
        <v>193</v>
      </c>
      <c r="E298" s="170" t="s">
        <v>3</v>
      </c>
      <c r="F298" s="171" t="s">
        <v>201</v>
      </c>
      <c r="H298" s="172">
        <v>19</v>
      </c>
      <c r="I298" s="173"/>
      <c r="L298" s="169"/>
      <c r="M298" s="174"/>
      <c r="T298" s="175"/>
      <c r="AT298" s="170" t="s">
        <v>193</v>
      </c>
      <c r="AU298" s="170" t="s">
        <v>87</v>
      </c>
      <c r="AV298" s="15" t="s">
        <v>185</v>
      </c>
      <c r="AW298" s="15" t="s">
        <v>36</v>
      </c>
      <c r="AX298" s="15" t="s">
        <v>85</v>
      </c>
      <c r="AY298" s="170" t="s">
        <v>177</v>
      </c>
    </row>
    <row r="299" spans="2:65" s="1" customFormat="1" ht="24.2" customHeight="1">
      <c r="B299" s="128"/>
      <c r="C299" s="129" t="s">
        <v>1144</v>
      </c>
      <c r="D299" s="129" t="s">
        <v>180</v>
      </c>
      <c r="E299" s="130" t="s">
        <v>3328</v>
      </c>
      <c r="F299" s="131" t="s">
        <v>3329</v>
      </c>
      <c r="G299" s="132" t="s">
        <v>236</v>
      </c>
      <c r="H299" s="133">
        <v>2</v>
      </c>
      <c r="I299" s="134"/>
      <c r="J299" s="135">
        <f>ROUND(I299*H299,2)</f>
        <v>0</v>
      </c>
      <c r="K299" s="131" t="s">
        <v>184</v>
      </c>
      <c r="L299" s="33"/>
      <c r="M299" s="136" t="s">
        <v>3</v>
      </c>
      <c r="N299" s="137" t="s">
        <v>48</v>
      </c>
      <c r="P299" s="138">
        <f>O299*H299</f>
        <v>0</v>
      </c>
      <c r="Q299" s="138">
        <v>0</v>
      </c>
      <c r="R299" s="138">
        <f>Q299*H299</f>
        <v>0</v>
      </c>
      <c r="S299" s="138">
        <v>0</v>
      </c>
      <c r="T299" s="139">
        <f>S299*H299</f>
        <v>0</v>
      </c>
      <c r="AR299" s="140" t="s">
        <v>237</v>
      </c>
      <c r="AT299" s="140" t="s">
        <v>180</v>
      </c>
      <c r="AU299" s="140" t="s">
        <v>87</v>
      </c>
      <c r="AY299" s="18" t="s">
        <v>177</v>
      </c>
      <c r="BE299" s="141">
        <f>IF(N299="základní",J299,0)</f>
        <v>0</v>
      </c>
      <c r="BF299" s="141">
        <f>IF(N299="snížená",J299,0)</f>
        <v>0</v>
      </c>
      <c r="BG299" s="141">
        <f>IF(N299="zákl. přenesená",J299,0)</f>
        <v>0</v>
      </c>
      <c r="BH299" s="141">
        <f>IF(N299="sníž. přenesená",J299,0)</f>
        <v>0</v>
      </c>
      <c r="BI299" s="141">
        <f>IF(N299="nulová",J299,0)</f>
        <v>0</v>
      </c>
      <c r="BJ299" s="18" t="s">
        <v>85</v>
      </c>
      <c r="BK299" s="141">
        <f>ROUND(I299*H299,2)</f>
        <v>0</v>
      </c>
      <c r="BL299" s="18" t="s">
        <v>237</v>
      </c>
      <c r="BM299" s="140" t="s">
        <v>3330</v>
      </c>
    </row>
    <row r="300" spans="2:47" s="1" customFormat="1" ht="29.25">
      <c r="B300" s="33"/>
      <c r="D300" s="142" t="s">
        <v>187</v>
      </c>
      <c r="F300" s="143" t="s">
        <v>3331</v>
      </c>
      <c r="I300" s="144"/>
      <c r="L300" s="33"/>
      <c r="M300" s="145"/>
      <c r="T300" s="54"/>
      <c r="AT300" s="18" t="s">
        <v>187</v>
      </c>
      <c r="AU300" s="18" t="s">
        <v>87</v>
      </c>
    </row>
    <row r="301" spans="2:47" s="1" customFormat="1" ht="11.25">
      <c r="B301" s="33"/>
      <c r="D301" s="146" t="s">
        <v>189</v>
      </c>
      <c r="F301" s="147" t="s">
        <v>3332</v>
      </c>
      <c r="I301" s="144"/>
      <c r="L301" s="33"/>
      <c r="M301" s="145"/>
      <c r="T301" s="54"/>
      <c r="AT301" s="18" t="s">
        <v>189</v>
      </c>
      <c r="AU301" s="18" t="s">
        <v>87</v>
      </c>
    </row>
    <row r="302" spans="2:47" s="1" customFormat="1" ht="97.5">
      <c r="B302" s="33"/>
      <c r="D302" s="142" t="s">
        <v>191</v>
      </c>
      <c r="F302" s="148" t="s">
        <v>3321</v>
      </c>
      <c r="I302" s="144"/>
      <c r="L302" s="33"/>
      <c r="M302" s="145"/>
      <c r="T302" s="54"/>
      <c r="AT302" s="18" t="s">
        <v>191</v>
      </c>
      <c r="AU302" s="18" t="s">
        <v>87</v>
      </c>
    </row>
    <row r="303" spans="2:65" s="1" customFormat="1" ht="21.75" customHeight="1">
      <c r="B303" s="128"/>
      <c r="C303" s="179" t="s">
        <v>1148</v>
      </c>
      <c r="D303" s="179" t="s">
        <v>484</v>
      </c>
      <c r="E303" s="180" t="s">
        <v>3333</v>
      </c>
      <c r="F303" s="181" t="s">
        <v>3334</v>
      </c>
      <c r="G303" s="182" t="s">
        <v>476</v>
      </c>
      <c r="H303" s="183">
        <v>56.7</v>
      </c>
      <c r="I303" s="184"/>
      <c r="J303" s="185">
        <f>ROUND(I303*H303,2)</f>
        <v>0</v>
      </c>
      <c r="K303" s="181" t="s">
        <v>184</v>
      </c>
      <c r="L303" s="186"/>
      <c r="M303" s="187" t="s">
        <v>3</v>
      </c>
      <c r="N303" s="188" t="s">
        <v>48</v>
      </c>
      <c r="P303" s="138">
        <f>O303*H303</f>
        <v>0</v>
      </c>
      <c r="Q303" s="138">
        <v>0.0018</v>
      </c>
      <c r="R303" s="138">
        <f>Q303*H303</f>
        <v>0.10206</v>
      </c>
      <c r="S303" s="138">
        <v>0</v>
      </c>
      <c r="T303" s="139">
        <f>S303*H303</f>
        <v>0</v>
      </c>
      <c r="AR303" s="140" t="s">
        <v>537</v>
      </c>
      <c r="AT303" s="140" t="s">
        <v>484</v>
      </c>
      <c r="AU303" s="140" t="s">
        <v>87</v>
      </c>
      <c r="AY303" s="18" t="s">
        <v>177</v>
      </c>
      <c r="BE303" s="141">
        <f>IF(N303="základní",J303,0)</f>
        <v>0</v>
      </c>
      <c r="BF303" s="141">
        <f>IF(N303="snížená",J303,0)</f>
        <v>0</v>
      </c>
      <c r="BG303" s="141">
        <f>IF(N303="zákl. přenesená",J303,0)</f>
        <v>0</v>
      </c>
      <c r="BH303" s="141">
        <f>IF(N303="sníž. přenesená",J303,0)</f>
        <v>0</v>
      </c>
      <c r="BI303" s="141">
        <f>IF(N303="nulová",J303,0)</f>
        <v>0</v>
      </c>
      <c r="BJ303" s="18" t="s">
        <v>85</v>
      </c>
      <c r="BK303" s="141">
        <f>ROUND(I303*H303,2)</f>
        <v>0</v>
      </c>
      <c r="BL303" s="18" t="s">
        <v>237</v>
      </c>
      <c r="BM303" s="140" t="s">
        <v>3335</v>
      </c>
    </row>
    <row r="304" spans="2:47" s="1" customFormat="1" ht="11.25">
      <c r="B304" s="33"/>
      <c r="D304" s="142" t="s">
        <v>187</v>
      </c>
      <c r="F304" s="143" t="s">
        <v>3336</v>
      </c>
      <c r="I304" s="144"/>
      <c r="L304" s="33"/>
      <c r="M304" s="145"/>
      <c r="T304" s="54"/>
      <c r="AT304" s="18" t="s">
        <v>187</v>
      </c>
      <c r="AU304" s="18" t="s">
        <v>87</v>
      </c>
    </row>
    <row r="305" spans="2:51" s="12" customFormat="1" ht="11.25">
      <c r="B305" s="149"/>
      <c r="D305" s="142" t="s">
        <v>193</v>
      </c>
      <c r="E305" s="150" t="s">
        <v>3</v>
      </c>
      <c r="F305" s="151" t="s">
        <v>2529</v>
      </c>
      <c r="H305" s="152">
        <v>6.9</v>
      </c>
      <c r="I305" s="153"/>
      <c r="L305" s="149"/>
      <c r="M305" s="154"/>
      <c r="T305" s="155"/>
      <c r="AT305" s="150" t="s">
        <v>193</v>
      </c>
      <c r="AU305" s="150" t="s">
        <v>87</v>
      </c>
      <c r="AV305" s="12" t="s">
        <v>87</v>
      </c>
      <c r="AW305" s="12" t="s">
        <v>36</v>
      </c>
      <c r="AX305" s="12" t="s">
        <v>77</v>
      </c>
      <c r="AY305" s="150" t="s">
        <v>177</v>
      </c>
    </row>
    <row r="306" spans="2:51" s="12" customFormat="1" ht="11.25">
      <c r="B306" s="149"/>
      <c r="D306" s="142" t="s">
        <v>193</v>
      </c>
      <c r="E306" s="150" t="s">
        <v>3</v>
      </c>
      <c r="F306" s="151" t="s">
        <v>2528</v>
      </c>
      <c r="H306" s="152">
        <v>19.2</v>
      </c>
      <c r="I306" s="153"/>
      <c r="L306" s="149"/>
      <c r="M306" s="154"/>
      <c r="T306" s="155"/>
      <c r="AT306" s="150" t="s">
        <v>193</v>
      </c>
      <c r="AU306" s="150" t="s">
        <v>87</v>
      </c>
      <c r="AV306" s="12" t="s">
        <v>87</v>
      </c>
      <c r="AW306" s="12" t="s">
        <v>36</v>
      </c>
      <c r="AX306" s="12" t="s">
        <v>77</v>
      </c>
      <c r="AY306" s="150" t="s">
        <v>177</v>
      </c>
    </row>
    <row r="307" spans="2:51" s="12" customFormat="1" ht="11.25">
      <c r="B307" s="149"/>
      <c r="D307" s="142" t="s">
        <v>193</v>
      </c>
      <c r="E307" s="150" t="s">
        <v>3</v>
      </c>
      <c r="F307" s="151" t="s">
        <v>3337</v>
      </c>
      <c r="H307" s="152">
        <v>30.6</v>
      </c>
      <c r="I307" s="153"/>
      <c r="L307" s="149"/>
      <c r="M307" s="154"/>
      <c r="T307" s="155"/>
      <c r="AT307" s="150" t="s">
        <v>193</v>
      </c>
      <c r="AU307" s="150" t="s">
        <v>87</v>
      </c>
      <c r="AV307" s="12" t="s">
        <v>87</v>
      </c>
      <c r="AW307" s="12" t="s">
        <v>36</v>
      </c>
      <c r="AX307" s="12" t="s">
        <v>77</v>
      </c>
      <c r="AY307" s="150" t="s">
        <v>177</v>
      </c>
    </row>
    <row r="308" spans="2:51" s="15" customFormat="1" ht="11.25">
      <c r="B308" s="169"/>
      <c r="D308" s="142" t="s">
        <v>193</v>
      </c>
      <c r="E308" s="170" t="s">
        <v>3</v>
      </c>
      <c r="F308" s="171" t="s">
        <v>201</v>
      </c>
      <c r="H308" s="172">
        <v>56.7</v>
      </c>
      <c r="I308" s="173"/>
      <c r="L308" s="169"/>
      <c r="M308" s="174"/>
      <c r="T308" s="175"/>
      <c r="AT308" s="170" t="s">
        <v>193</v>
      </c>
      <c r="AU308" s="170" t="s">
        <v>87</v>
      </c>
      <c r="AV308" s="15" t="s">
        <v>185</v>
      </c>
      <c r="AW308" s="15" t="s">
        <v>36</v>
      </c>
      <c r="AX308" s="15" t="s">
        <v>85</v>
      </c>
      <c r="AY308" s="170" t="s">
        <v>177</v>
      </c>
    </row>
    <row r="309" spans="2:65" s="1" customFormat="1" ht="16.5" customHeight="1">
      <c r="B309" s="128"/>
      <c r="C309" s="179" t="s">
        <v>1156</v>
      </c>
      <c r="D309" s="179" t="s">
        <v>484</v>
      </c>
      <c r="E309" s="180" t="s">
        <v>3338</v>
      </c>
      <c r="F309" s="181" t="s">
        <v>3339</v>
      </c>
      <c r="G309" s="182" t="s">
        <v>3340</v>
      </c>
      <c r="H309" s="183">
        <v>28</v>
      </c>
      <c r="I309" s="184"/>
      <c r="J309" s="185">
        <f>ROUND(I309*H309,2)</f>
        <v>0</v>
      </c>
      <c r="K309" s="181" t="s">
        <v>184</v>
      </c>
      <c r="L309" s="186"/>
      <c r="M309" s="187" t="s">
        <v>3</v>
      </c>
      <c r="N309" s="188" t="s">
        <v>48</v>
      </c>
      <c r="P309" s="138">
        <f>O309*H309</f>
        <v>0</v>
      </c>
      <c r="Q309" s="138">
        <v>0.0002</v>
      </c>
      <c r="R309" s="138">
        <f>Q309*H309</f>
        <v>0.0056</v>
      </c>
      <c r="S309" s="138">
        <v>0</v>
      </c>
      <c r="T309" s="139">
        <f>S309*H309</f>
        <v>0</v>
      </c>
      <c r="AR309" s="140" t="s">
        <v>537</v>
      </c>
      <c r="AT309" s="140" t="s">
        <v>484</v>
      </c>
      <c r="AU309" s="140" t="s">
        <v>87</v>
      </c>
      <c r="AY309" s="18" t="s">
        <v>177</v>
      </c>
      <c r="BE309" s="141">
        <f>IF(N309="základní",J309,0)</f>
        <v>0</v>
      </c>
      <c r="BF309" s="141">
        <f>IF(N309="snížená",J309,0)</f>
        <v>0</v>
      </c>
      <c r="BG309" s="141">
        <f>IF(N309="zákl. přenesená",J309,0)</f>
        <v>0</v>
      </c>
      <c r="BH309" s="141">
        <f>IF(N309="sníž. přenesená",J309,0)</f>
        <v>0</v>
      </c>
      <c r="BI309" s="141">
        <f>IF(N309="nulová",J309,0)</f>
        <v>0</v>
      </c>
      <c r="BJ309" s="18" t="s">
        <v>85</v>
      </c>
      <c r="BK309" s="141">
        <f>ROUND(I309*H309,2)</f>
        <v>0</v>
      </c>
      <c r="BL309" s="18" t="s">
        <v>237</v>
      </c>
      <c r="BM309" s="140" t="s">
        <v>3341</v>
      </c>
    </row>
    <row r="310" spans="2:47" s="1" customFormat="1" ht="11.25">
      <c r="B310" s="33"/>
      <c r="D310" s="142" t="s">
        <v>187</v>
      </c>
      <c r="F310" s="143" t="s">
        <v>3339</v>
      </c>
      <c r="I310" s="144"/>
      <c r="L310" s="33"/>
      <c r="M310" s="145"/>
      <c r="T310" s="54"/>
      <c r="AT310" s="18" t="s">
        <v>187</v>
      </c>
      <c r="AU310" s="18" t="s">
        <v>87</v>
      </c>
    </row>
    <row r="311" spans="2:51" s="12" customFormat="1" ht="11.25">
      <c r="B311" s="149"/>
      <c r="D311" s="142" t="s">
        <v>193</v>
      </c>
      <c r="E311" s="150" t="s">
        <v>3</v>
      </c>
      <c r="F311" s="151" t="s">
        <v>3342</v>
      </c>
      <c r="H311" s="152">
        <v>16</v>
      </c>
      <c r="I311" s="153"/>
      <c r="L311" s="149"/>
      <c r="M311" s="154"/>
      <c r="T311" s="155"/>
      <c r="AT311" s="150" t="s">
        <v>193</v>
      </c>
      <c r="AU311" s="150" t="s">
        <v>87</v>
      </c>
      <c r="AV311" s="12" t="s">
        <v>87</v>
      </c>
      <c r="AW311" s="12" t="s">
        <v>36</v>
      </c>
      <c r="AX311" s="12" t="s">
        <v>77</v>
      </c>
      <c r="AY311" s="150" t="s">
        <v>177</v>
      </c>
    </row>
    <row r="312" spans="2:51" s="12" customFormat="1" ht="11.25">
      <c r="B312" s="149"/>
      <c r="D312" s="142" t="s">
        <v>193</v>
      </c>
      <c r="E312" s="150" t="s">
        <v>3</v>
      </c>
      <c r="F312" s="151" t="s">
        <v>3343</v>
      </c>
      <c r="H312" s="152">
        <v>12</v>
      </c>
      <c r="I312" s="153"/>
      <c r="L312" s="149"/>
      <c r="M312" s="154"/>
      <c r="T312" s="155"/>
      <c r="AT312" s="150" t="s">
        <v>193</v>
      </c>
      <c r="AU312" s="150" t="s">
        <v>87</v>
      </c>
      <c r="AV312" s="12" t="s">
        <v>87</v>
      </c>
      <c r="AW312" s="12" t="s">
        <v>36</v>
      </c>
      <c r="AX312" s="12" t="s">
        <v>77</v>
      </c>
      <c r="AY312" s="150" t="s">
        <v>177</v>
      </c>
    </row>
    <row r="313" spans="2:51" s="15" customFormat="1" ht="11.25">
      <c r="B313" s="169"/>
      <c r="D313" s="142" t="s">
        <v>193</v>
      </c>
      <c r="E313" s="170" t="s">
        <v>3</v>
      </c>
      <c r="F313" s="171" t="s">
        <v>201</v>
      </c>
      <c r="H313" s="172">
        <v>28</v>
      </c>
      <c r="I313" s="173"/>
      <c r="L313" s="169"/>
      <c r="M313" s="174"/>
      <c r="T313" s="175"/>
      <c r="AT313" s="170" t="s">
        <v>193</v>
      </c>
      <c r="AU313" s="170" t="s">
        <v>87</v>
      </c>
      <c r="AV313" s="15" t="s">
        <v>185</v>
      </c>
      <c r="AW313" s="15" t="s">
        <v>36</v>
      </c>
      <c r="AX313" s="15" t="s">
        <v>85</v>
      </c>
      <c r="AY313" s="170" t="s">
        <v>177</v>
      </c>
    </row>
    <row r="314" spans="2:65" s="1" customFormat="1" ht="24.2" customHeight="1">
      <c r="B314" s="128"/>
      <c r="C314" s="129" t="s">
        <v>1164</v>
      </c>
      <c r="D314" s="129" t="s">
        <v>180</v>
      </c>
      <c r="E314" s="130" t="s">
        <v>2289</v>
      </c>
      <c r="F314" s="131" t="s">
        <v>2290</v>
      </c>
      <c r="G314" s="132" t="s">
        <v>183</v>
      </c>
      <c r="H314" s="133">
        <v>0.917</v>
      </c>
      <c r="I314" s="134"/>
      <c r="J314" s="135">
        <f>ROUND(I314*H314,2)</f>
        <v>0</v>
      </c>
      <c r="K314" s="131" t="s">
        <v>184</v>
      </c>
      <c r="L314" s="33"/>
      <c r="M314" s="136" t="s">
        <v>3</v>
      </c>
      <c r="N314" s="137" t="s">
        <v>48</v>
      </c>
      <c r="P314" s="138">
        <f>O314*H314</f>
        <v>0</v>
      </c>
      <c r="Q314" s="138">
        <v>0</v>
      </c>
      <c r="R314" s="138">
        <f>Q314*H314</f>
        <v>0</v>
      </c>
      <c r="S314" s="138">
        <v>0</v>
      </c>
      <c r="T314" s="139">
        <f>S314*H314</f>
        <v>0</v>
      </c>
      <c r="AR314" s="140" t="s">
        <v>237</v>
      </c>
      <c r="AT314" s="140" t="s">
        <v>180</v>
      </c>
      <c r="AU314" s="140" t="s">
        <v>87</v>
      </c>
      <c r="AY314" s="18" t="s">
        <v>177</v>
      </c>
      <c r="BE314" s="141">
        <f>IF(N314="základní",J314,0)</f>
        <v>0</v>
      </c>
      <c r="BF314" s="141">
        <f>IF(N314="snížená",J314,0)</f>
        <v>0</v>
      </c>
      <c r="BG314" s="141">
        <f>IF(N314="zákl. přenesená",J314,0)</f>
        <v>0</v>
      </c>
      <c r="BH314" s="141">
        <f>IF(N314="sníž. přenesená",J314,0)</f>
        <v>0</v>
      </c>
      <c r="BI314" s="141">
        <f>IF(N314="nulová",J314,0)</f>
        <v>0</v>
      </c>
      <c r="BJ314" s="18" t="s">
        <v>85</v>
      </c>
      <c r="BK314" s="141">
        <f>ROUND(I314*H314,2)</f>
        <v>0</v>
      </c>
      <c r="BL314" s="18" t="s">
        <v>237</v>
      </c>
      <c r="BM314" s="140" t="s">
        <v>3344</v>
      </c>
    </row>
    <row r="315" spans="2:47" s="1" customFormat="1" ht="29.25">
      <c r="B315" s="33"/>
      <c r="D315" s="142" t="s">
        <v>187</v>
      </c>
      <c r="F315" s="143" t="s">
        <v>2292</v>
      </c>
      <c r="I315" s="144"/>
      <c r="L315" s="33"/>
      <c r="M315" s="145"/>
      <c r="T315" s="54"/>
      <c r="AT315" s="18" t="s">
        <v>187</v>
      </c>
      <c r="AU315" s="18" t="s">
        <v>87</v>
      </c>
    </row>
    <row r="316" spans="2:47" s="1" customFormat="1" ht="11.25">
      <c r="B316" s="33"/>
      <c r="D316" s="146" t="s">
        <v>189</v>
      </c>
      <c r="F316" s="147" t="s">
        <v>2293</v>
      </c>
      <c r="I316" s="144"/>
      <c r="L316" s="33"/>
      <c r="M316" s="145"/>
      <c r="T316" s="54"/>
      <c r="AT316" s="18" t="s">
        <v>189</v>
      </c>
      <c r="AU316" s="18" t="s">
        <v>87</v>
      </c>
    </row>
    <row r="317" spans="2:47" s="1" customFormat="1" ht="126.75">
      <c r="B317" s="33"/>
      <c r="D317" s="142" t="s">
        <v>191</v>
      </c>
      <c r="F317" s="148" t="s">
        <v>2294</v>
      </c>
      <c r="I317" s="144"/>
      <c r="L317" s="33"/>
      <c r="M317" s="145"/>
      <c r="T317" s="54"/>
      <c r="AT317" s="18" t="s">
        <v>191</v>
      </c>
      <c r="AU317" s="18" t="s">
        <v>87</v>
      </c>
    </row>
    <row r="318" spans="2:65" s="1" customFormat="1" ht="24.2" customHeight="1">
      <c r="B318" s="128"/>
      <c r="C318" s="129" t="s">
        <v>1167</v>
      </c>
      <c r="D318" s="129" t="s">
        <v>180</v>
      </c>
      <c r="E318" s="130" t="s">
        <v>2295</v>
      </c>
      <c r="F318" s="131" t="s">
        <v>2296</v>
      </c>
      <c r="G318" s="132" t="s">
        <v>183</v>
      </c>
      <c r="H318" s="133">
        <v>0.917</v>
      </c>
      <c r="I318" s="134"/>
      <c r="J318" s="135">
        <f>ROUND(I318*H318,2)</f>
        <v>0</v>
      </c>
      <c r="K318" s="131" t="s">
        <v>184</v>
      </c>
      <c r="L318" s="33"/>
      <c r="M318" s="136" t="s">
        <v>3</v>
      </c>
      <c r="N318" s="137" t="s">
        <v>48</v>
      </c>
      <c r="P318" s="138">
        <f>O318*H318</f>
        <v>0</v>
      </c>
      <c r="Q318" s="138">
        <v>0</v>
      </c>
      <c r="R318" s="138">
        <f>Q318*H318</f>
        <v>0</v>
      </c>
      <c r="S318" s="138">
        <v>0</v>
      </c>
      <c r="T318" s="139">
        <f>S318*H318</f>
        <v>0</v>
      </c>
      <c r="AR318" s="140" t="s">
        <v>237</v>
      </c>
      <c r="AT318" s="140" t="s">
        <v>180</v>
      </c>
      <c r="AU318" s="140" t="s">
        <v>87</v>
      </c>
      <c r="AY318" s="18" t="s">
        <v>177</v>
      </c>
      <c r="BE318" s="141">
        <f>IF(N318="základní",J318,0)</f>
        <v>0</v>
      </c>
      <c r="BF318" s="141">
        <f>IF(N318="snížená",J318,0)</f>
        <v>0</v>
      </c>
      <c r="BG318" s="141">
        <f>IF(N318="zákl. přenesená",J318,0)</f>
        <v>0</v>
      </c>
      <c r="BH318" s="141">
        <f>IF(N318="sníž. přenesená",J318,0)</f>
        <v>0</v>
      </c>
      <c r="BI318" s="141">
        <f>IF(N318="nulová",J318,0)</f>
        <v>0</v>
      </c>
      <c r="BJ318" s="18" t="s">
        <v>85</v>
      </c>
      <c r="BK318" s="141">
        <f>ROUND(I318*H318,2)</f>
        <v>0</v>
      </c>
      <c r="BL318" s="18" t="s">
        <v>237</v>
      </c>
      <c r="BM318" s="140" t="s">
        <v>3345</v>
      </c>
    </row>
    <row r="319" spans="2:47" s="1" customFormat="1" ht="29.25">
      <c r="B319" s="33"/>
      <c r="D319" s="142" t="s">
        <v>187</v>
      </c>
      <c r="F319" s="143" t="s">
        <v>2298</v>
      </c>
      <c r="I319" s="144"/>
      <c r="L319" s="33"/>
      <c r="M319" s="145"/>
      <c r="T319" s="54"/>
      <c r="AT319" s="18" t="s">
        <v>187</v>
      </c>
      <c r="AU319" s="18" t="s">
        <v>87</v>
      </c>
    </row>
    <row r="320" spans="2:47" s="1" customFormat="1" ht="11.25">
      <c r="B320" s="33"/>
      <c r="D320" s="146" t="s">
        <v>189</v>
      </c>
      <c r="F320" s="147" t="s">
        <v>2299</v>
      </c>
      <c r="I320" s="144"/>
      <c r="L320" s="33"/>
      <c r="M320" s="145"/>
      <c r="T320" s="54"/>
      <c r="AT320" s="18" t="s">
        <v>189</v>
      </c>
      <c r="AU320" s="18" t="s">
        <v>87</v>
      </c>
    </row>
    <row r="321" spans="2:47" s="1" customFormat="1" ht="126.75">
      <c r="B321" s="33"/>
      <c r="D321" s="142" t="s">
        <v>191</v>
      </c>
      <c r="F321" s="148" t="s">
        <v>2294</v>
      </c>
      <c r="I321" s="144"/>
      <c r="L321" s="33"/>
      <c r="M321" s="145"/>
      <c r="T321" s="54"/>
      <c r="AT321" s="18" t="s">
        <v>191</v>
      </c>
      <c r="AU321" s="18" t="s">
        <v>87</v>
      </c>
    </row>
    <row r="322" spans="2:63" s="11" customFormat="1" ht="22.9" customHeight="1">
      <c r="B322" s="116"/>
      <c r="D322" s="117" t="s">
        <v>76</v>
      </c>
      <c r="E322" s="126" t="s">
        <v>1322</v>
      </c>
      <c r="F322" s="126" t="s">
        <v>1323</v>
      </c>
      <c r="I322" s="119"/>
      <c r="J322" s="127">
        <f>BK322</f>
        <v>0</v>
      </c>
      <c r="L322" s="116"/>
      <c r="M322" s="121"/>
      <c r="P322" s="122">
        <f>SUM(P323:P369)</f>
        <v>0</v>
      </c>
      <c r="R322" s="122">
        <f>SUM(R323:R369)</f>
        <v>0.619201</v>
      </c>
      <c r="T322" s="123">
        <f>SUM(T323:T369)</f>
        <v>0</v>
      </c>
      <c r="AR322" s="117" t="s">
        <v>87</v>
      </c>
      <c r="AT322" s="124" t="s">
        <v>76</v>
      </c>
      <c r="AU322" s="124" t="s">
        <v>85</v>
      </c>
      <c r="AY322" s="117" t="s">
        <v>177</v>
      </c>
      <c r="BK322" s="125">
        <f>SUM(BK323:BK369)</f>
        <v>0</v>
      </c>
    </row>
    <row r="323" spans="2:65" s="1" customFormat="1" ht="24.2" customHeight="1">
      <c r="B323" s="128"/>
      <c r="C323" s="129" t="s">
        <v>1173</v>
      </c>
      <c r="D323" s="129" t="s">
        <v>180</v>
      </c>
      <c r="E323" s="130" t="s">
        <v>2943</v>
      </c>
      <c r="F323" s="131" t="s">
        <v>2944</v>
      </c>
      <c r="G323" s="132" t="s">
        <v>476</v>
      </c>
      <c r="H323" s="133">
        <v>17.426</v>
      </c>
      <c r="I323" s="134"/>
      <c r="J323" s="135">
        <f>ROUND(I323*H323,2)</f>
        <v>0</v>
      </c>
      <c r="K323" s="131" t="s">
        <v>184</v>
      </c>
      <c r="L323" s="33"/>
      <c r="M323" s="136" t="s">
        <v>3</v>
      </c>
      <c r="N323" s="137" t="s">
        <v>48</v>
      </c>
      <c r="P323" s="138">
        <f>O323*H323</f>
        <v>0</v>
      </c>
      <c r="Q323" s="138">
        <v>0</v>
      </c>
      <c r="R323" s="138">
        <f>Q323*H323</f>
        <v>0</v>
      </c>
      <c r="S323" s="138">
        <v>0</v>
      </c>
      <c r="T323" s="139">
        <f>S323*H323</f>
        <v>0</v>
      </c>
      <c r="AR323" s="140" t="s">
        <v>237</v>
      </c>
      <c r="AT323" s="140" t="s">
        <v>180</v>
      </c>
      <c r="AU323" s="140" t="s">
        <v>87</v>
      </c>
      <c r="AY323" s="18" t="s">
        <v>177</v>
      </c>
      <c r="BE323" s="141">
        <f>IF(N323="základní",J323,0)</f>
        <v>0</v>
      </c>
      <c r="BF323" s="141">
        <f>IF(N323="snížená",J323,0)</f>
        <v>0</v>
      </c>
      <c r="BG323" s="141">
        <f>IF(N323="zákl. přenesená",J323,0)</f>
        <v>0</v>
      </c>
      <c r="BH323" s="141">
        <f>IF(N323="sníž. přenesená",J323,0)</f>
        <v>0</v>
      </c>
      <c r="BI323" s="141">
        <f>IF(N323="nulová",J323,0)</f>
        <v>0</v>
      </c>
      <c r="BJ323" s="18" t="s">
        <v>85</v>
      </c>
      <c r="BK323" s="141">
        <f>ROUND(I323*H323,2)</f>
        <v>0</v>
      </c>
      <c r="BL323" s="18" t="s">
        <v>237</v>
      </c>
      <c r="BM323" s="140" t="s">
        <v>3346</v>
      </c>
    </row>
    <row r="324" spans="2:47" s="1" customFormat="1" ht="19.5">
      <c r="B324" s="33"/>
      <c r="D324" s="142" t="s">
        <v>187</v>
      </c>
      <c r="F324" s="143" t="s">
        <v>2946</v>
      </c>
      <c r="I324" s="144"/>
      <c r="L324" s="33"/>
      <c r="M324" s="145"/>
      <c r="T324" s="54"/>
      <c r="AT324" s="18" t="s">
        <v>187</v>
      </c>
      <c r="AU324" s="18" t="s">
        <v>87</v>
      </c>
    </row>
    <row r="325" spans="2:47" s="1" customFormat="1" ht="11.25">
      <c r="B325" s="33"/>
      <c r="D325" s="146" t="s">
        <v>189</v>
      </c>
      <c r="F325" s="147" t="s">
        <v>2947</v>
      </c>
      <c r="I325" s="144"/>
      <c r="L325" s="33"/>
      <c r="M325" s="145"/>
      <c r="T325" s="54"/>
      <c r="AT325" s="18" t="s">
        <v>189</v>
      </c>
      <c r="AU325" s="18" t="s">
        <v>87</v>
      </c>
    </row>
    <row r="326" spans="2:47" s="1" customFormat="1" ht="136.5">
      <c r="B326" s="33"/>
      <c r="D326" s="142" t="s">
        <v>191</v>
      </c>
      <c r="F326" s="148" t="s">
        <v>2948</v>
      </c>
      <c r="I326" s="144"/>
      <c r="L326" s="33"/>
      <c r="M326" s="145"/>
      <c r="T326" s="54"/>
      <c r="AT326" s="18" t="s">
        <v>191</v>
      </c>
      <c r="AU326" s="18" t="s">
        <v>87</v>
      </c>
    </row>
    <row r="327" spans="2:51" s="13" customFormat="1" ht="11.25">
      <c r="B327" s="156"/>
      <c r="D327" s="142" t="s">
        <v>193</v>
      </c>
      <c r="E327" s="157" t="s">
        <v>3</v>
      </c>
      <c r="F327" s="158" t="s">
        <v>3347</v>
      </c>
      <c r="H327" s="157" t="s">
        <v>3</v>
      </c>
      <c r="I327" s="159"/>
      <c r="L327" s="156"/>
      <c r="M327" s="160"/>
      <c r="T327" s="161"/>
      <c r="AT327" s="157" t="s">
        <v>193</v>
      </c>
      <c r="AU327" s="157" t="s">
        <v>87</v>
      </c>
      <c r="AV327" s="13" t="s">
        <v>85</v>
      </c>
      <c r="AW327" s="13" t="s">
        <v>36</v>
      </c>
      <c r="AX327" s="13" t="s">
        <v>77</v>
      </c>
      <c r="AY327" s="157" t="s">
        <v>177</v>
      </c>
    </row>
    <row r="328" spans="2:51" s="12" customFormat="1" ht="11.25">
      <c r="B328" s="149"/>
      <c r="D328" s="142" t="s">
        <v>193</v>
      </c>
      <c r="E328" s="150" t="s">
        <v>3</v>
      </c>
      <c r="F328" s="151" t="s">
        <v>3348</v>
      </c>
      <c r="H328" s="152">
        <v>8.226</v>
      </c>
      <c r="I328" s="153"/>
      <c r="L328" s="149"/>
      <c r="M328" s="154"/>
      <c r="T328" s="155"/>
      <c r="AT328" s="150" t="s">
        <v>193</v>
      </c>
      <c r="AU328" s="150" t="s">
        <v>87</v>
      </c>
      <c r="AV328" s="12" t="s">
        <v>87</v>
      </c>
      <c r="AW328" s="12" t="s">
        <v>36</v>
      </c>
      <c r="AX328" s="12" t="s">
        <v>77</v>
      </c>
      <c r="AY328" s="150" t="s">
        <v>177</v>
      </c>
    </row>
    <row r="329" spans="2:51" s="13" customFormat="1" ht="11.25">
      <c r="B329" s="156"/>
      <c r="D329" s="142" t="s">
        <v>193</v>
      </c>
      <c r="E329" s="157" t="s">
        <v>3</v>
      </c>
      <c r="F329" s="158" t="s">
        <v>3349</v>
      </c>
      <c r="H329" s="157" t="s">
        <v>3</v>
      </c>
      <c r="I329" s="159"/>
      <c r="L329" s="156"/>
      <c r="M329" s="160"/>
      <c r="T329" s="161"/>
      <c r="AT329" s="157" t="s">
        <v>193</v>
      </c>
      <c r="AU329" s="157" t="s">
        <v>87</v>
      </c>
      <c r="AV329" s="13" t="s">
        <v>85</v>
      </c>
      <c r="AW329" s="13" t="s">
        <v>36</v>
      </c>
      <c r="AX329" s="13" t="s">
        <v>77</v>
      </c>
      <c r="AY329" s="157" t="s">
        <v>177</v>
      </c>
    </row>
    <row r="330" spans="2:51" s="12" customFormat="1" ht="11.25">
      <c r="B330" s="149"/>
      <c r="D330" s="142" t="s">
        <v>193</v>
      </c>
      <c r="E330" s="150" t="s">
        <v>3</v>
      </c>
      <c r="F330" s="151" t="s">
        <v>3350</v>
      </c>
      <c r="H330" s="152">
        <v>9.2</v>
      </c>
      <c r="I330" s="153"/>
      <c r="L330" s="149"/>
      <c r="M330" s="154"/>
      <c r="T330" s="155"/>
      <c r="AT330" s="150" t="s">
        <v>193</v>
      </c>
      <c r="AU330" s="150" t="s">
        <v>87</v>
      </c>
      <c r="AV330" s="12" t="s">
        <v>87</v>
      </c>
      <c r="AW330" s="12" t="s">
        <v>36</v>
      </c>
      <c r="AX330" s="12" t="s">
        <v>77</v>
      </c>
      <c r="AY330" s="150" t="s">
        <v>177</v>
      </c>
    </row>
    <row r="331" spans="2:51" s="15" customFormat="1" ht="11.25">
      <c r="B331" s="169"/>
      <c r="D331" s="142" t="s">
        <v>193</v>
      </c>
      <c r="E331" s="170" t="s">
        <v>3</v>
      </c>
      <c r="F331" s="171" t="s">
        <v>201</v>
      </c>
      <c r="H331" s="172">
        <v>17.426</v>
      </c>
      <c r="I331" s="173"/>
      <c r="L331" s="169"/>
      <c r="M331" s="174"/>
      <c r="T331" s="175"/>
      <c r="AT331" s="170" t="s">
        <v>193</v>
      </c>
      <c r="AU331" s="170" t="s">
        <v>87</v>
      </c>
      <c r="AV331" s="15" t="s">
        <v>185</v>
      </c>
      <c r="AW331" s="15" t="s">
        <v>36</v>
      </c>
      <c r="AX331" s="15" t="s">
        <v>85</v>
      </c>
      <c r="AY331" s="170" t="s">
        <v>177</v>
      </c>
    </row>
    <row r="332" spans="2:65" s="1" customFormat="1" ht="21.75" customHeight="1">
      <c r="B332" s="128"/>
      <c r="C332" s="179" t="s">
        <v>1177</v>
      </c>
      <c r="D332" s="179" t="s">
        <v>484</v>
      </c>
      <c r="E332" s="180" t="s">
        <v>3351</v>
      </c>
      <c r="F332" s="181" t="s">
        <v>3352</v>
      </c>
      <c r="G332" s="182" t="s">
        <v>1628</v>
      </c>
      <c r="H332" s="183">
        <v>150.171</v>
      </c>
      <c r="I332" s="184"/>
      <c r="J332" s="185">
        <f>ROUND(I332*H332,2)</f>
        <v>0</v>
      </c>
      <c r="K332" s="181" t="s">
        <v>244</v>
      </c>
      <c r="L332" s="186"/>
      <c r="M332" s="187" t="s">
        <v>3</v>
      </c>
      <c r="N332" s="188" t="s">
        <v>48</v>
      </c>
      <c r="P332" s="138">
        <f>O332*H332</f>
        <v>0</v>
      </c>
      <c r="Q332" s="138">
        <v>0.001</v>
      </c>
      <c r="R332" s="138">
        <f>Q332*H332</f>
        <v>0.150171</v>
      </c>
      <c r="S332" s="138">
        <v>0</v>
      </c>
      <c r="T332" s="139">
        <f>S332*H332</f>
        <v>0</v>
      </c>
      <c r="AR332" s="140" t="s">
        <v>537</v>
      </c>
      <c r="AT332" s="140" t="s">
        <v>484</v>
      </c>
      <c r="AU332" s="140" t="s">
        <v>87</v>
      </c>
      <c r="AY332" s="18" t="s">
        <v>177</v>
      </c>
      <c r="BE332" s="141">
        <f>IF(N332="základní",J332,0)</f>
        <v>0</v>
      </c>
      <c r="BF332" s="141">
        <f>IF(N332="snížená",J332,0)</f>
        <v>0</v>
      </c>
      <c r="BG332" s="141">
        <f>IF(N332="zákl. přenesená",J332,0)</f>
        <v>0</v>
      </c>
      <c r="BH332" s="141">
        <f>IF(N332="sníž. přenesená",J332,0)</f>
        <v>0</v>
      </c>
      <c r="BI332" s="141">
        <f>IF(N332="nulová",J332,0)</f>
        <v>0</v>
      </c>
      <c r="BJ332" s="18" t="s">
        <v>85</v>
      </c>
      <c r="BK332" s="141">
        <f>ROUND(I332*H332,2)</f>
        <v>0</v>
      </c>
      <c r="BL332" s="18" t="s">
        <v>237</v>
      </c>
      <c r="BM332" s="140" t="s">
        <v>3353</v>
      </c>
    </row>
    <row r="333" spans="2:47" s="1" customFormat="1" ht="11.25">
      <c r="B333" s="33"/>
      <c r="D333" s="142" t="s">
        <v>187</v>
      </c>
      <c r="F333" s="143" t="s">
        <v>3352</v>
      </c>
      <c r="I333" s="144"/>
      <c r="L333" s="33"/>
      <c r="M333" s="145"/>
      <c r="T333" s="54"/>
      <c r="AT333" s="18" t="s">
        <v>187</v>
      </c>
      <c r="AU333" s="18" t="s">
        <v>87</v>
      </c>
    </row>
    <row r="334" spans="2:51" s="13" customFormat="1" ht="11.25">
      <c r="B334" s="156"/>
      <c r="D334" s="142" t="s">
        <v>193</v>
      </c>
      <c r="E334" s="157" t="s">
        <v>3</v>
      </c>
      <c r="F334" s="158" t="s">
        <v>2955</v>
      </c>
      <c r="H334" s="157" t="s">
        <v>3</v>
      </c>
      <c r="I334" s="159"/>
      <c r="L334" s="156"/>
      <c r="M334" s="160"/>
      <c r="T334" s="161"/>
      <c r="AT334" s="157" t="s">
        <v>193</v>
      </c>
      <c r="AU334" s="157" t="s">
        <v>87</v>
      </c>
      <c r="AV334" s="13" t="s">
        <v>85</v>
      </c>
      <c r="AW334" s="13" t="s">
        <v>36</v>
      </c>
      <c r="AX334" s="13" t="s">
        <v>77</v>
      </c>
      <c r="AY334" s="157" t="s">
        <v>177</v>
      </c>
    </row>
    <row r="335" spans="2:51" s="12" customFormat="1" ht="11.25">
      <c r="B335" s="149"/>
      <c r="D335" s="142" t="s">
        <v>193</v>
      </c>
      <c r="E335" s="150" t="s">
        <v>3</v>
      </c>
      <c r="F335" s="151" t="s">
        <v>3354</v>
      </c>
      <c r="H335" s="152">
        <v>36.858</v>
      </c>
      <c r="I335" s="153"/>
      <c r="L335" s="149"/>
      <c r="M335" s="154"/>
      <c r="T335" s="155"/>
      <c r="AT335" s="150" t="s">
        <v>193</v>
      </c>
      <c r="AU335" s="150" t="s">
        <v>87</v>
      </c>
      <c r="AV335" s="12" t="s">
        <v>87</v>
      </c>
      <c r="AW335" s="12" t="s">
        <v>36</v>
      </c>
      <c r="AX335" s="12" t="s">
        <v>77</v>
      </c>
      <c r="AY335" s="150" t="s">
        <v>177</v>
      </c>
    </row>
    <row r="336" spans="2:51" s="13" customFormat="1" ht="11.25">
      <c r="B336" s="156"/>
      <c r="D336" s="142" t="s">
        <v>193</v>
      </c>
      <c r="E336" s="157" t="s">
        <v>3</v>
      </c>
      <c r="F336" s="158" t="s">
        <v>2957</v>
      </c>
      <c r="H336" s="157" t="s">
        <v>3</v>
      </c>
      <c r="I336" s="159"/>
      <c r="L336" s="156"/>
      <c r="M336" s="160"/>
      <c r="T336" s="161"/>
      <c r="AT336" s="157" t="s">
        <v>193</v>
      </c>
      <c r="AU336" s="157" t="s">
        <v>87</v>
      </c>
      <c r="AV336" s="13" t="s">
        <v>85</v>
      </c>
      <c r="AW336" s="13" t="s">
        <v>36</v>
      </c>
      <c r="AX336" s="13" t="s">
        <v>77</v>
      </c>
      <c r="AY336" s="157" t="s">
        <v>177</v>
      </c>
    </row>
    <row r="337" spans="2:51" s="12" customFormat="1" ht="11.25">
      <c r="B337" s="149"/>
      <c r="D337" s="142" t="s">
        <v>193</v>
      </c>
      <c r="E337" s="150" t="s">
        <v>3</v>
      </c>
      <c r="F337" s="151" t="s">
        <v>3355</v>
      </c>
      <c r="H337" s="152">
        <v>47.661</v>
      </c>
      <c r="I337" s="153"/>
      <c r="L337" s="149"/>
      <c r="M337" s="154"/>
      <c r="T337" s="155"/>
      <c r="AT337" s="150" t="s">
        <v>193</v>
      </c>
      <c r="AU337" s="150" t="s">
        <v>87</v>
      </c>
      <c r="AV337" s="12" t="s">
        <v>87</v>
      </c>
      <c r="AW337" s="12" t="s">
        <v>36</v>
      </c>
      <c r="AX337" s="12" t="s">
        <v>77</v>
      </c>
      <c r="AY337" s="150" t="s">
        <v>177</v>
      </c>
    </row>
    <row r="338" spans="2:51" s="13" customFormat="1" ht="11.25">
      <c r="B338" s="156"/>
      <c r="D338" s="142" t="s">
        <v>193</v>
      </c>
      <c r="E338" s="157" t="s">
        <v>3</v>
      </c>
      <c r="F338" s="158" t="s">
        <v>2959</v>
      </c>
      <c r="H338" s="157" t="s">
        <v>3</v>
      </c>
      <c r="I338" s="159"/>
      <c r="L338" s="156"/>
      <c r="M338" s="160"/>
      <c r="T338" s="161"/>
      <c r="AT338" s="157" t="s">
        <v>193</v>
      </c>
      <c r="AU338" s="157" t="s">
        <v>87</v>
      </c>
      <c r="AV338" s="13" t="s">
        <v>85</v>
      </c>
      <c r="AW338" s="13" t="s">
        <v>36</v>
      </c>
      <c r="AX338" s="13" t="s">
        <v>77</v>
      </c>
      <c r="AY338" s="157" t="s">
        <v>177</v>
      </c>
    </row>
    <row r="339" spans="2:51" s="12" customFormat="1" ht="22.5">
      <c r="B339" s="149"/>
      <c r="D339" s="142" t="s">
        <v>193</v>
      </c>
      <c r="E339" s="150" t="s">
        <v>3</v>
      </c>
      <c r="F339" s="151" t="s">
        <v>3356</v>
      </c>
      <c r="H339" s="152">
        <v>16.997</v>
      </c>
      <c r="I339" s="153"/>
      <c r="L339" s="149"/>
      <c r="M339" s="154"/>
      <c r="T339" s="155"/>
      <c r="AT339" s="150" t="s">
        <v>193</v>
      </c>
      <c r="AU339" s="150" t="s">
        <v>87</v>
      </c>
      <c r="AV339" s="12" t="s">
        <v>87</v>
      </c>
      <c r="AW339" s="12" t="s">
        <v>36</v>
      </c>
      <c r="AX339" s="12" t="s">
        <v>77</v>
      </c>
      <c r="AY339" s="150" t="s">
        <v>177</v>
      </c>
    </row>
    <row r="340" spans="2:51" s="13" customFormat="1" ht="11.25">
      <c r="B340" s="156"/>
      <c r="D340" s="142" t="s">
        <v>193</v>
      </c>
      <c r="E340" s="157" t="s">
        <v>3</v>
      </c>
      <c r="F340" s="158" t="s">
        <v>2961</v>
      </c>
      <c r="H340" s="157" t="s">
        <v>3</v>
      </c>
      <c r="I340" s="159"/>
      <c r="L340" s="156"/>
      <c r="M340" s="160"/>
      <c r="T340" s="161"/>
      <c r="AT340" s="157" t="s">
        <v>193</v>
      </c>
      <c r="AU340" s="157" t="s">
        <v>87</v>
      </c>
      <c r="AV340" s="13" t="s">
        <v>85</v>
      </c>
      <c r="AW340" s="13" t="s">
        <v>36</v>
      </c>
      <c r="AX340" s="13" t="s">
        <v>77</v>
      </c>
      <c r="AY340" s="157" t="s">
        <v>177</v>
      </c>
    </row>
    <row r="341" spans="2:51" s="12" customFormat="1" ht="11.25">
      <c r="B341" s="149"/>
      <c r="D341" s="142" t="s">
        <v>193</v>
      </c>
      <c r="E341" s="150" t="s">
        <v>3</v>
      </c>
      <c r="F341" s="151" t="s">
        <v>3357</v>
      </c>
      <c r="H341" s="152">
        <v>35.005</v>
      </c>
      <c r="I341" s="153"/>
      <c r="L341" s="149"/>
      <c r="M341" s="154"/>
      <c r="T341" s="155"/>
      <c r="AT341" s="150" t="s">
        <v>193</v>
      </c>
      <c r="AU341" s="150" t="s">
        <v>87</v>
      </c>
      <c r="AV341" s="12" t="s">
        <v>87</v>
      </c>
      <c r="AW341" s="12" t="s">
        <v>36</v>
      </c>
      <c r="AX341" s="12" t="s">
        <v>77</v>
      </c>
      <c r="AY341" s="150" t="s">
        <v>177</v>
      </c>
    </row>
    <row r="342" spans="2:51" s="14" customFormat="1" ht="11.25">
      <c r="B342" s="162"/>
      <c r="D342" s="142" t="s">
        <v>193</v>
      </c>
      <c r="E342" s="163" t="s">
        <v>3</v>
      </c>
      <c r="F342" s="164" t="s">
        <v>197</v>
      </c>
      <c r="H342" s="165">
        <v>136.521</v>
      </c>
      <c r="I342" s="166"/>
      <c r="L342" s="162"/>
      <c r="M342" s="167"/>
      <c r="T342" s="168"/>
      <c r="AT342" s="163" t="s">
        <v>193</v>
      </c>
      <c r="AU342" s="163" t="s">
        <v>87</v>
      </c>
      <c r="AV342" s="14" t="s">
        <v>198</v>
      </c>
      <c r="AW342" s="14" t="s">
        <v>36</v>
      </c>
      <c r="AX342" s="14" t="s">
        <v>77</v>
      </c>
      <c r="AY342" s="163" t="s">
        <v>177</v>
      </c>
    </row>
    <row r="343" spans="2:51" s="13" customFormat="1" ht="11.25">
      <c r="B343" s="156"/>
      <c r="D343" s="142" t="s">
        <v>193</v>
      </c>
      <c r="E343" s="157" t="s">
        <v>3</v>
      </c>
      <c r="F343" s="158" t="s">
        <v>3358</v>
      </c>
      <c r="H343" s="157" t="s">
        <v>3</v>
      </c>
      <c r="I343" s="159"/>
      <c r="L343" s="156"/>
      <c r="M343" s="160"/>
      <c r="T343" s="161"/>
      <c r="AT343" s="157" t="s">
        <v>193</v>
      </c>
      <c r="AU343" s="157" t="s">
        <v>87</v>
      </c>
      <c r="AV343" s="13" t="s">
        <v>85</v>
      </c>
      <c r="AW343" s="13" t="s">
        <v>36</v>
      </c>
      <c r="AX343" s="13" t="s">
        <v>77</v>
      </c>
      <c r="AY343" s="157" t="s">
        <v>177</v>
      </c>
    </row>
    <row r="344" spans="2:51" s="12" customFormat="1" ht="11.25">
      <c r="B344" s="149"/>
      <c r="D344" s="142" t="s">
        <v>193</v>
      </c>
      <c r="E344" s="150" t="s">
        <v>3</v>
      </c>
      <c r="F344" s="151" t="s">
        <v>3359</v>
      </c>
      <c r="H344" s="152">
        <v>13.65</v>
      </c>
      <c r="I344" s="153"/>
      <c r="L344" s="149"/>
      <c r="M344" s="154"/>
      <c r="T344" s="155"/>
      <c r="AT344" s="150" t="s">
        <v>193</v>
      </c>
      <c r="AU344" s="150" t="s">
        <v>87</v>
      </c>
      <c r="AV344" s="12" t="s">
        <v>87</v>
      </c>
      <c r="AW344" s="12" t="s">
        <v>36</v>
      </c>
      <c r="AX344" s="12" t="s">
        <v>77</v>
      </c>
      <c r="AY344" s="150" t="s">
        <v>177</v>
      </c>
    </row>
    <row r="345" spans="2:51" s="15" customFormat="1" ht="11.25">
      <c r="B345" s="169"/>
      <c r="D345" s="142" t="s">
        <v>193</v>
      </c>
      <c r="E345" s="170" t="s">
        <v>3</v>
      </c>
      <c r="F345" s="171" t="s">
        <v>201</v>
      </c>
      <c r="H345" s="172">
        <v>150.171</v>
      </c>
      <c r="I345" s="173"/>
      <c r="L345" s="169"/>
      <c r="M345" s="174"/>
      <c r="T345" s="175"/>
      <c r="AT345" s="170" t="s">
        <v>193</v>
      </c>
      <c r="AU345" s="170" t="s">
        <v>87</v>
      </c>
      <c r="AV345" s="15" t="s">
        <v>185</v>
      </c>
      <c r="AW345" s="15" t="s">
        <v>36</v>
      </c>
      <c r="AX345" s="15" t="s">
        <v>85</v>
      </c>
      <c r="AY345" s="170" t="s">
        <v>177</v>
      </c>
    </row>
    <row r="346" spans="2:65" s="1" customFormat="1" ht="16.5" customHeight="1">
      <c r="B346" s="128"/>
      <c r="C346" s="179" t="s">
        <v>1180</v>
      </c>
      <c r="D346" s="179" t="s">
        <v>484</v>
      </c>
      <c r="E346" s="180" t="s">
        <v>3360</v>
      </c>
      <c r="F346" s="181" t="s">
        <v>3361</v>
      </c>
      <c r="G346" s="182" t="s">
        <v>476</v>
      </c>
      <c r="H346" s="183">
        <v>9.2</v>
      </c>
      <c r="I346" s="184"/>
      <c r="J346" s="185">
        <f>ROUND(I346*H346,2)</f>
        <v>0</v>
      </c>
      <c r="K346" s="181" t="s">
        <v>244</v>
      </c>
      <c r="L346" s="186"/>
      <c r="M346" s="187" t="s">
        <v>3</v>
      </c>
      <c r="N346" s="188" t="s">
        <v>48</v>
      </c>
      <c r="P346" s="138">
        <f>O346*H346</f>
        <v>0</v>
      </c>
      <c r="Q346" s="138">
        <v>0.05</v>
      </c>
      <c r="R346" s="138">
        <f>Q346*H346</f>
        <v>0.45999999999999996</v>
      </c>
      <c r="S346" s="138">
        <v>0</v>
      </c>
      <c r="T346" s="139">
        <f>S346*H346</f>
        <v>0</v>
      </c>
      <c r="AR346" s="140" t="s">
        <v>537</v>
      </c>
      <c r="AT346" s="140" t="s">
        <v>484</v>
      </c>
      <c r="AU346" s="140" t="s">
        <v>87</v>
      </c>
      <c r="AY346" s="18" t="s">
        <v>177</v>
      </c>
      <c r="BE346" s="141">
        <f>IF(N346="základní",J346,0)</f>
        <v>0</v>
      </c>
      <c r="BF346" s="141">
        <f>IF(N346="snížená",J346,0)</f>
        <v>0</v>
      </c>
      <c r="BG346" s="141">
        <f>IF(N346="zákl. přenesená",J346,0)</f>
        <v>0</v>
      </c>
      <c r="BH346" s="141">
        <f>IF(N346="sníž. přenesená",J346,0)</f>
        <v>0</v>
      </c>
      <c r="BI346" s="141">
        <f>IF(N346="nulová",J346,0)</f>
        <v>0</v>
      </c>
      <c r="BJ346" s="18" t="s">
        <v>85</v>
      </c>
      <c r="BK346" s="141">
        <f>ROUND(I346*H346,2)</f>
        <v>0</v>
      </c>
      <c r="BL346" s="18" t="s">
        <v>237</v>
      </c>
      <c r="BM346" s="140" t="s">
        <v>3362</v>
      </c>
    </row>
    <row r="347" spans="2:47" s="1" customFormat="1" ht="11.25">
      <c r="B347" s="33"/>
      <c r="D347" s="142" t="s">
        <v>187</v>
      </c>
      <c r="F347" s="143" t="s">
        <v>3361</v>
      </c>
      <c r="I347" s="144"/>
      <c r="L347" s="33"/>
      <c r="M347" s="145"/>
      <c r="T347" s="54"/>
      <c r="AT347" s="18" t="s">
        <v>187</v>
      </c>
      <c r="AU347" s="18" t="s">
        <v>87</v>
      </c>
    </row>
    <row r="348" spans="2:51" s="13" customFormat="1" ht="22.5">
      <c r="B348" s="156"/>
      <c r="D348" s="142" t="s">
        <v>193</v>
      </c>
      <c r="E348" s="157" t="s">
        <v>3</v>
      </c>
      <c r="F348" s="158" t="s">
        <v>3363</v>
      </c>
      <c r="H348" s="157" t="s">
        <v>3</v>
      </c>
      <c r="I348" s="159"/>
      <c r="L348" s="156"/>
      <c r="M348" s="160"/>
      <c r="T348" s="161"/>
      <c r="AT348" s="157" t="s">
        <v>193</v>
      </c>
      <c r="AU348" s="157" t="s">
        <v>87</v>
      </c>
      <c r="AV348" s="13" t="s">
        <v>85</v>
      </c>
      <c r="AW348" s="13" t="s">
        <v>36</v>
      </c>
      <c r="AX348" s="13" t="s">
        <v>77</v>
      </c>
      <c r="AY348" s="157" t="s">
        <v>177</v>
      </c>
    </row>
    <row r="349" spans="2:51" s="12" customFormat="1" ht="11.25">
      <c r="B349" s="149"/>
      <c r="D349" s="142" t="s">
        <v>193</v>
      </c>
      <c r="E349" s="150" t="s">
        <v>3</v>
      </c>
      <c r="F349" s="151" t="s">
        <v>3364</v>
      </c>
      <c r="H349" s="152">
        <v>9.2</v>
      </c>
      <c r="I349" s="153"/>
      <c r="L349" s="149"/>
      <c r="M349" s="154"/>
      <c r="T349" s="155"/>
      <c r="AT349" s="150" t="s">
        <v>193</v>
      </c>
      <c r="AU349" s="150" t="s">
        <v>87</v>
      </c>
      <c r="AV349" s="12" t="s">
        <v>87</v>
      </c>
      <c r="AW349" s="12" t="s">
        <v>36</v>
      </c>
      <c r="AX349" s="12" t="s">
        <v>85</v>
      </c>
      <c r="AY349" s="150" t="s">
        <v>177</v>
      </c>
    </row>
    <row r="350" spans="2:65" s="1" customFormat="1" ht="24.2" customHeight="1">
      <c r="B350" s="128"/>
      <c r="C350" s="129" t="s">
        <v>1183</v>
      </c>
      <c r="D350" s="129" t="s">
        <v>180</v>
      </c>
      <c r="E350" s="130" t="s">
        <v>3365</v>
      </c>
      <c r="F350" s="131" t="s">
        <v>3366</v>
      </c>
      <c r="G350" s="132" t="s">
        <v>236</v>
      </c>
      <c r="H350" s="133">
        <v>3</v>
      </c>
      <c r="I350" s="134"/>
      <c r="J350" s="135">
        <f>ROUND(I350*H350,2)</f>
        <v>0</v>
      </c>
      <c r="K350" s="131" t="s">
        <v>184</v>
      </c>
      <c r="L350" s="33"/>
      <c r="M350" s="136" t="s">
        <v>3</v>
      </c>
      <c r="N350" s="137" t="s">
        <v>48</v>
      </c>
      <c r="P350" s="138">
        <f>O350*H350</f>
        <v>0</v>
      </c>
      <c r="Q350" s="138">
        <v>0.00061</v>
      </c>
      <c r="R350" s="138">
        <f>Q350*H350</f>
        <v>0.00183</v>
      </c>
      <c r="S350" s="138">
        <v>0</v>
      </c>
      <c r="T350" s="139">
        <f>S350*H350</f>
        <v>0</v>
      </c>
      <c r="AR350" s="140" t="s">
        <v>237</v>
      </c>
      <c r="AT350" s="140" t="s">
        <v>180</v>
      </c>
      <c r="AU350" s="140" t="s">
        <v>87</v>
      </c>
      <c r="AY350" s="18" t="s">
        <v>177</v>
      </c>
      <c r="BE350" s="141">
        <f>IF(N350="základní",J350,0)</f>
        <v>0</v>
      </c>
      <c r="BF350" s="141">
        <f>IF(N350="snížená",J350,0)</f>
        <v>0</v>
      </c>
      <c r="BG350" s="141">
        <f>IF(N350="zákl. přenesená",J350,0)</f>
        <v>0</v>
      </c>
      <c r="BH350" s="141">
        <f>IF(N350="sníž. přenesená",J350,0)</f>
        <v>0</v>
      </c>
      <c r="BI350" s="141">
        <f>IF(N350="nulová",J350,0)</f>
        <v>0</v>
      </c>
      <c r="BJ350" s="18" t="s">
        <v>85</v>
      </c>
      <c r="BK350" s="141">
        <f>ROUND(I350*H350,2)</f>
        <v>0</v>
      </c>
      <c r="BL350" s="18" t="s">
        <v>237</v>
      </c>
      <c r="BM350" s="140" t="s">
        <v>3367</v>
      </c>
    </row>
    <row r="351" spans="2:47" s="1" customFormat="1" ht="19.5">
      <c r="B351" s="33"/>
      <c r="D351" s="142" t="s">
        <v>187</v>
      </c>
      <c r="F351" s="143" t="s">
        <v>3368</v>
      </c>
      <c r="I351" s="144"/>
      <c r="L351" s="33"/>
      <c r="M351" s="145"/>
      <c r="T351" s="54"/>
      <c r="AT351" s="18" t="s">
        <v>187</v>
      </c>
      <c r="AU351" s="18" t="s">
        <v>87</v>
      </c>
    </row>
    <row r="352" spans="2:47" s="1" customFormat="1" ht="11.25">
      <c r="B352" s="33"/>
      <c r="D352" s="146" t="s">
        <v>189</v>
      </c>
      <c r="F352" s="147" t="s">
        <v>3369</v>
      </c>
      <c r="I352" s="144"/>
      <c r="L352" s="33"/>
      <c r="M352" s="145"/>
      <c r="T352" s="54"/>
      <c r="AT352" s="18" t="s">
        <v>189</v>
      </c>
      <c r="AU352" s="18" t="s">
        <v>87</v>
      </c>
    </row>
    <row r="353" spans="2:65" s="1" customFormat="1" ht="24.2" customHeight="1">
      <c r="B353" s="128"/>
      <c r="C353" s="179" t="s">
        <v>1185</v>
      </c>
      <c r="D353" s="179" t="s">
        <v>484</v>
      </c>
      <c r="E353" s="180" t="s">
        <v>3370</v>
      </c>
      <c r="F353" s="181" t="s">
        <v>3371</v>
      </c>
      <c r="G353" s="182" t="s">
        <v>236</v>
      </c>
      <c r="H353" s="183">
        <v>2</v>
      </c>
      <c r="I353" s="184"/>
      <c r="J353" s="185">
        <f>ROUND(I353*H353,2)</f>
        <v>0</v>
      </c>
      <c r="K353" s="181" t="s">
        <v>244</v>
      </c>
      <c r="L353" s="186"/>
      <c r="M353" s="187" t="s">
        <v>3</v>
      </c>
      <c r="N353" s="188" t="s">
        <v>48</v>
      </c>
      <c r="P353" s="138">
        <f>O353*H353</f>
        <v>0</v>
      </c>
      <c r="Q353" s="138">
        <v>0</v>
      </c>
      <c r="R353" s="138">
        <f>Q353*H353</f>
        <v>0</v>
      </c>
      <c r="S353" s="138">
        <v>0</v>
      </c>
      <c r="T353" s="139">
        <f>S353*H353</f>
        <v>0</v>
      </c>
      <c r="AR353" s="140" t="s">
        <v>537</v>
      </c>
      <c r="AT353" s="140" t="s">
        <v>484</v>
      </c>
      <c r="AU353" s="140" t="s">
        <v>87</v>
      </c>
      <c r="AY353" s="18" t="s">
        <v>177</v>
      </c>
      <c r="BE353" s="141">
        <f>IF(N353="základní",J353,0)</f>
        <v>0</v>
      </c>
      <c r="BF353" s="141">
        <f>IF(N353="snížená",J353,0)</f>
        <v>0</v>
      </c>
      <c r="BG353" s="141">
        <f>IF(N353="zákl. přenesená",J353,0)</f>
        <v>0</v>
      </c>
      <c r="BH353" s="141">
        <f>IF(N353="sníž. přenesená",J353,0)</f>
        <v>0</v>
      </c>
      <c r="BI353" s="141">
        <f>IF(N353="nulová",J353,0)</f>
        <v>0</v>
      </c>
      <c r="BJ353" s="18" t="s">
        <v>85</v>
      </c>
      <c r="BK353" s="141">
        <f>ROUND(I353*H353,2)</f>
        <v>0</v>
      </c>
      <c r="BL353" s="18" t="s">
        <v>237</v>
      </c>
      <c r="BM353" s="140" t="s">
        <v>3372</v>
      </c>
    </row>
    <row r="354" spans="2:47" s="1" customFormat="1" ht="11.25">
      <c r="B354" s="33"/>
      <c r="D354" s="142" t="s">
        <v>187</v>
      </c>
      <c r="F354" s="143" t="s">
        <v>3371</v>
      </c>
      <c r="I354" s="144"/>
      <c r="L354" s="33"/>
      <c r="M354" s="145"/>
      <c r="T354" s="54"/>
      <c r="AT354" s="18" t="s">
        <v>187</v>
      </c>
      <c r="AU354" s="18" t="s">
        <v>87</v>
      </c>
    </row>
    <row r="355" spans="2:65" s="1" customFormat="1" ht="24.2" customHeight="1">
      <c r="B355" s="128"/>
      <c r="C355" s="179" t="s">
        <v>1188</v>
      </c>
      <c r="D355" s="179" t="s">
        <v>484</v>
      </c>
      <c r="E355" s="180" t="s">
        <v>3373</v>
      </c>
      <c r="F355" s="181" t="s">
        <v>3374</v>
      </c>
      <c r="G355" s="182" t="s">
        <v>236</v>
      </c>
      <c r="H355" s="183">
        <v>1</v>
      </c>
      <c r="I355" s="184"/>
      <c r="J355" s="185">
        <f>ROUND(I355*H355,2)</f>
        <v>0</v>
      </c>
      <c r="K355" s="181" t="s">
        <v>3</v>
      </c>
      <c r="L355" s="186"/>
      <c r="M355" s="187" t="s">
        <v>3</v>
      </c>
      <c r="N355" s="188" t="s">
        <v>48</v>
      </c>
      <c r="P355" s="138">
        <f>O355*H355</f>
        <v>0</v>
      </c>
      <c r="Q355" s="138">
        <v>0</v>
      </c>
      <c r="R355" s="138">
        <f>Q355*H355</f>
        <v>0</v>
      </c>
      <c r="S355" s="138">
        <v>0</v>
      </c>
      <c r="T355" s="139">
        <f>S355*H355</f>
        <v>0</v>
      </c>
      <c r="AR355" s="140" t="s">
        <v>537</v>
      </c>
      <c r="AT355" s="140" t="s">
        <v>484</v>
      </c>
      <c r="AU355" s="140" t="s">
        <v>87</v>
      </c>
      <c r="AY355" s="18" t="s">
        <v>177</v>
      </c>
      <c r="BE355" s="141">
        <f>IF(N355="základní",J355,0)</f>
        <v>0</v>
      </c>
      <c r="BF355" s="141">
        <f>IF(N355="snížená",J355,0)</f>
        <v>0</v>
      </c>
      <c r="BG355" s="141">
        <f>IF(N355="zákl. přenesená",J355,0)</f>
        <v>0</v>
      </c>
      <c r="BH355" s="141">
        <f>IF(N355="sníž. přenesená",J355,0)</f>
        <v>0</v>
      </c>
      <c r="BI355" s="141">
        <f>IF(N355="nulová",J355,0)</f>
        <v>0</v>
      </c>
      <c r="BJ355" s="18" t="s">
        <v>85</v>
      </c>
      <c r="BK355" s="141">
        <f>ROUND(I355*H355,2)</f>
        <v>0</v>
      </c>
      <c r="BL355" s="18" t="s">
        <v>237</v>
      </c>
      <c r="BM355" s="140" t="s">
        <v>3375</v>
      </c>
    </row>
    <row r="356" spans="2:47" s="1" customFormat="1" ht="11.25">
      <c r="B356" s="33"/>
      <c r="D356" s="142" t="s">
        <v>187</v>
      </c>
      <c r="F356" s="143" t="s">
        <v>3374</v>
      </c>
      <c r="I356" s="144"/>
      <c r="L356" s="33"/>
      <c r="M356" s="145"/>
      <c r="T356" s="54"/>
      <c r="AT356" s="18" t="s">
        <v>187</v>
      </c>
      <c r="AU356" s="18" t="s">
        <v>87</v>
      </c>
    </row>
    <row r="357" spans="2:65" s="1" customFormat="1" ht="16.5" customHeight="1">
      <c r="B357" s="128"/>
      <c r="C357" s="129" t="s">
        <v>1190</v>
      </c>
      <c r="D357" s="129" t="s">
        <v>180</v>
      </c>
      <c r="E357" s="130" t="s">
        <v>3376</v>
      </c>
      <c r="F357" s="131" t="s">
        <v>3377</v>
      </c>
      <c r="G357" s="132" t="s">
        <v>236</v>
      </c>
      <c r="H357" s="133">
        <v>3</v>
      </c>
      <c r="I357" s="134"/>
      <c r="J357" s="135">
        <f>ROUND(I357*H357,2)</f>
        <v>0</v>
      </c>
      <c r="K357" s="131" t="s">
        <v>184</v>
      </c>
      <c r="L357" s="33"/>
      <c r="M357" s="136" t="s">
        <v>3</v>
      </c>
      <c r="N357" s="137" t="s">
        <v>48</v>
      </c>
      <c r="P357" s="138">
        <f>O357*H357</f>
        <v>0</v>
      </c>
      <c r="Q357" s="138">
        <v>0</v>
      </c>
      <c r="R357" s="138">
        <f>Q357*H357</f>
        <v>0</v>
      </c>
      <c r="S357" s="138">
        <v>0</v>
      </c>
      <c r="T357" s="139">
        <f>S357*H357</f>
        <v>0</v>
      </c>
      <c r="AR357" s="140" t="s">
        <v>237</v>
      </c>
      <c r="AT357" s="140" t="s">
        <v>180</v>
      </c>
      <c r="AU357" s="140" t="s">
        <v>87</v>
      </c>
      <c r="AY357" s="18" t="s">
        <v>177</v>
      </c>
      <c r="BE357" s="141">
        <f>IF(N357="základní",J357,0)</f>
        <v>0</v>
      </c>
      <c r="BF357" s="141">
        <f>IF(N357="snížená",J357,0)</f>
        <v>0</v>
      </c>
      <c r="BG357" s="141">
        <f>IF(N357="zákl. přenesená",J357,0)</f>
        <v>0</v>
      </c>
      <c r="BH357" s="141">
        <f>IF(N357="sníž. přenesená",J357,0)</f>
        <v>0</v>
      </c>
      <c r="BI357" s="141">
        <f>IF(N357="nulová",J357,0)</f>
        <v>0</v>
      </c>
      <c r="BJ357" s="18" t="s">
        <v>85</v>
      </c>
      <c r="BK357" s="141">
        <f>ROUND(I357*H357,2)</f>
        <v>0</v>
      </c>
      <c r="BL357" s="18" t="s">
        <v>237</v>
      </c>
      <c r="BM357" s="140" t="s">
        <v>3378</v>
      </c>
    </row>
    <row r="358" spans="2:47" s="1" customFormat="1" ht="19.5">
      <c r="B358" s="33"/>
      <c r="D358" s="142" t="s">
        <v>187</v>
      </c>
      <c r="F358" s="143" t="s">
        <v>3379</v>
      </c>
      <c r="I358" s="144"/>
      <c r="L358" s="33"/>
      <c r="M358" s="145"/>
      <c r="T358" s="54"/>
      <c r="AT358" s="18" t="s">
        <v>187</v>
      </c>
      <c r="AU358" s="18" t="s">
        <v>87</v>
      </c>
    </row>
    <row r="359" spans="2:47" s="1" customFormat="1" ht="11.25">
      <c r="B359" s="33"/>
      <c r="D359" s="146" t="s">
        <v>189</v>
      </c>
      <c r="F359" s="147" t="s">
        <v>3380</v>
      </c>
      <c r="I359" s="144"/>
      <c r="L359" s="33"/>
      <c r="M359" s="145"/>
      <c r="T359" s="54"/>
      <c r="AT359" s="18" t="s">
        <v>189</v>
      </c>
      <c r="AU359" s="18" t="s">
        <v>87</v>
      </c>
    </row>
    <row r="360" spans="2:65" s="1" customFormat="1" ht="16.5" customHeight="1">
      <c r="B360" s="128"/>
      <c r="C360" s="179" t="s">
        <v>1193</v>
      </c>
      <c r="D360" s="179" t="s">
        <v>484</v>
      </c>
      <c r="E360" s="180" t="s">
        <v>3293</v>
      </c>
      <c r="F360" s="181" t="s">
        <v>3294</v>
      </c>
      <c r="G360" s="182" t="s">
        <v>236</v>
      </c>
      <c r="H360" s="183">
        <v>3</v>
      </c>
      <c r="I360" s="184"/>
      <c r="J360" s="185">
        <f>ROUND(I360*H360,2)</f>
        <v>0</v>
      </c>
      <c r="K360" s="181" t="s">
        <v>184</v>
      </c>
      <c r="L360" s="186"/>
      <c r="M360" s="187" t="s">
        <v>3</v>
      </c>
      <c r="N360" s="188" t="s">
        <v>48</v>
      </c>
      <c r="P360" s="138">
        <f>O360*H360</f>
        <v>0</v>
      </c>
      <c r="Q360" s="138">
        <v>0.0024</v>
      </c>
      <c r="R360" s="138">
        <f>Q360*H360</f>
        <v>0.0072</v>
      </c>
      <c r="S360" s="138">
        <v>0</v>
      </c>
      <c r="T360" s="139">
        <f>S360*H360</f>
        <v>0</v>
      </c>
      <c r="AR360" s="140" t="s">
        <v>537</v>
      </c>
      <c r="AT360" s="140" t="s">
        <v>484</v>
      </c>
      <c r="AU360" s="140" t="s">
        <v>87</v>
      </c>
      <c r="AY360" s="18" t="s">
        <v>177</v>
      </c>
      <c r="BE360" s="141">
        <f>IF(N360="základní",J360,0)</f>
        <v>0</v>
      </c>
      <c r="BF360" s="141">
        <f>IF(N360="snížená",J360,0)</f>
        <v>0</v>
      </c>
      <c r="BG360" s="141">
        <f>IF(N360="zákl. přenesená",J360,0)</f>
        <v>0</v>
      </c>
      <c r="BH360" s="141">
        <f>IF(N360="sníž. přenesená",J360,0)</f>
        <v>0</v>
      </c>
      <c r="BI360" s="141">
        <f>IF(N360="nulová",J360,0)</f>
        <v>0</v>
      </c>
      <c r="BJ360" s="18" t="s">
        <v>85</v>
      </c>
      <c r="BK360" s="141">
        <f>ROUND(I360*H360,2)</f>
        <v>0</v>
      </c>
      <c r="BL360" s="18" t="s">
        <v>237</v>
      </c>
      <c r="BM360" s="140" t="s">
        <v>3381</v>
      </c>
    </row>
    <row r="361" spans="2:47" s="1" customFormat="1" ht="11.25">
      <c r="B361" s="33"/>
      <c r="D361" s="142" t="s">
        <v>187</v>
      </c>
      <c r="F361" s="143" t="s">
        <v>3296</v>
      </c>
      <c r="I361" s="144"/>
      <c r="L361" s="33"/>
      <c r="M361" s="145"/>
      <c r="T361" s="54"/>
      <c r="AT361" s="18" t="s">
        <v>187</v>
      </c>
      <c r="AU361" s="18" t="s">
        <v>87</v>
      </c>
    </row>
    <row r="362" spans="2:65" s="1" customFormat="1" ht="24.2" customHeight="1">
      <c r="B362" s="128"/>
      <c r="C362" s="129" t="s">
        <v>1201</v>
      </c>
      <c r="D362" s="129" t="s">
        <v>180</v>
      </c>
      <c r="E362" s="130" t="s">
        <v>1646</v>
      </c>
      <c r="F362" s="131" t="s">
        <v>1647</v>
      </c>
      <c r="G362" s="132" t="s">
        <v>183</v>
      </c>
      <c r="H362" s="133">
        <v>0.619</v>
      </c>
      <c r="I362" s="134"/>
      <c r="J362" s="135">
        <f>ROUND(I362*H362,2)</f>
        <v>0</v>
      </c>
      <c r="K362" s="131" t="s">
        <v>184</v>
      </c>
      <c r="L362" s="33"/>
      <c r="M362" s="136" t="s">
        <v>3</v>
      </c>
      <c r="N362" s="137" t="s">
        <v>48</v>
      </c>
      <c r="P362" s="138">
        <f>O362*H362</f>
        <v>0</v>
      </c>
      <c r="Q362" s="138">
        <v>0</v>
      </c>
      <c r="R362" s="138">
        <f>Q362*H362</f>
        <v>0</v>
      </c>
      <c r="S362" s="138">
        <v>0</v>
      </c>
      <c r="T362" s="139">
        <f>S362*H362</f>
        <v>0</v>
      </c>
      <c r="AR362" s="140" t="s">
        <v>237</v>
      </c>
      <c r="AT362" s="140" t="s">
        <v>180</v>
      </c>
      <c r="AU362" s="140" t="s">
        <v>87</v>
      </c>
      <c r="AY362" s="18" t="s">
        <v>177</v>
      </c>
      <c r="BE362" s="141">
        <f>IF(N362="základní",J362,0)</f>
        <v>0</v>
      </c>
      <c r="BF362" s="141">
        <f>IF(N362="snížená",J362,0)</f>
        <v>0</v>
      </c>
      <c r="BG362" s="141">
        <f>IF(N362="zákl. přenesená",J362,0)</f>
        <v>0</v>
      </c>
      <c r="BH362" s="141">
        <f>IF(N362="sníž. přenesená",J362,0)</f>
        <v>0</v>
      </c>
      <c r="BI362" s="141">
        <f>IF(N362="nulová",J362,0)</f>
        <v>0</v>
      </c>
      <c r="BJ362" s="18" t="s">
        <v>85</v>
      </c>
      <c r="BK362" s="141">
        <f>ROUND(I362*H362,2)</f>
        <v>0</v>
      </c>
      <c r="BL362" s="18" t="s">
        <v>237</v>
      </c>
      <c r="BM362" s="140" t="s">
        <v>3382</v>
      </c>
    </row>
    <row r="363" spans="2:47" s="1" customFormat="1" ht="29.25">
      <c r="B363" s="33"/>
      <c r="D363" s="142" t="s">
        <v>187</v>
      </c>
      <c r="F363" s="143" t="s">
        <v>1649</v>
      </c>
      <c r="I363" s="144"/>
      <c r="L363" s="33"/>
      <c r="M363" s="145"/>
      <c r="T363" s="54"/>
      <c r="AT363" s="18" t="s">
        <v>187</v>
      </c>
      <c r="AU363" s="18" t="s">
        <v>87</v>
      </c>
    </row>
    <row r="364" spans="2:47" s="1" customFormat="1" ht="11.25">
      <c r="B364" s="33"/>
      <c r="D364" s="146" t="s">
        <v>189</v>
      </c>
      <c r="F364" s="147" t="s">
        <v>1650</v>
      </c>
      <c r="I364" s="144"/>
      <c r="L364" s="33"/>
      <c r="M364" s="145"/>
      <c r="T364" s="54"/>
      <c r="AT364" s="18" t="s">
        <v>189</v>
      </c>
      <c r="AU364" s="18" t="s">
        <v>87</v>
      </c>
    </row>
    <row r="365" spans="2:47" s="1" customFormat="1" ht="126.75">
      <c r="B365" s="33"/>
      <c r="D365" s="142" t="s">
        <v>191</v>
      </c>
      <c r="F365" s="148" t="s">
        <v>1651</v>
      </c>
      <c r="I365" s="144"/>
      <c r="L365" s="33"/>
      <c r="M365" s="145"/>
      <c r="T365" s="54"/>
      <c r="AT365" s="18" t="s">
        <v>191</v>
      </c>
      <c r="AU365" s="18" t="s">
        <v>87</v>
      </c>
    </row>
    <row r="366" spans="2:65" s="1" customFormat="1" ht="24.2" customHeight="1">
      <c r="B366" s="128"/>
      <c r="C366" s="129" t="s">
        <v>1208</v>
      </c>
      <c r="D366" s="129" t="s">
        <v>180</v>
      </c>
      <c r="E366" s="130" t="s">
        <v>1652</v>
      </c>
      <c r="F366" s="131" t="s">
        <v>1653</v>
      </c>
      <c r="G366" s="132" t="s">
        <v>183</v>
      </c>
      <c r="H366" s="133">
        <v>0.619</v>
      </c>
      <c r="I366" s="134"/>
      <c r="J366" s="135">
        <f>ROUND(I366*H366,2)</f>
        <v>0</v>
      </c>
      <c r="K366" s="131" t="s">
        <v>184</v>
      </c>
      <c r="L366" s="33"/>
      <c r="M366" s="136" t="s">
        <v>3</v>
      </c>
      <c r="N366" s="137" t="s">
        <v>48</v>
      </c>
      <c r="P366" s="138">
        <f>O366*H366</f>
        <v>0</v>
      </c>
      <c r="Q366" s="138">
        <v>0</v>
      </c>
      <c r="R366" s="138">
        <f>Q366*H366</f>
        <v>0</v>
      </c>
      <c r="S366" s="138">
        <v>0</v>
      </c>
      <c r="T366" s="139">
        <f>S366*H366</f>
        <v>0</v>
      </c>
      <c r="AR366" s="140" t="s">
        <v>237</v>
      </c>
      <c r="AT366" s="140" t="s">
        <v>180</v>
      </c>
      <c r="AU366" s="140" t="s">
        <v>87</v>
      </c>
      <c r="AY366" s="18" t="s">
        <v>177</v>
      </c>
      <c r="BE366" s="141">
        <f>IF(N366="základní",J366,0)</f>
        <v>0</v>
      </c>
      <c r="BF366" s="141">
        <f>IF(N366="snížená",J366,0)</f>
        <v>0</v>
      </c>
      <c r="BG366" s="141">
        <f>IF(N366="zákl. přenesená",J366,0)</f>
        <v>0</v>
      </c>
      <c r="BH366" s="141">
        <f>IF(N366="sníž. přenesená",J366,0)</f>
        <v>0</v>
      </c>
      <c r="BI366" s="141">
        <f>IF(N366="nulová",J366,0)</f>
        <v>0</v>
      </c>
      <c r="BJ366" s="18" t="s">
        <v>85</v>
      </c>
      <c r="BK366" s="141">
        <f>ROUND(I366*H366,2)</f>
        <v>0</v>
      </c>
      <c r="BL366" s="18" t="s">
        <v>237</v>
      </c>
      <c r="BM366" s="140" t="s">
        <v>3383</v>
      </c>
    </row>
    <row r="367" spans="2:47" s="1" customFormat="1" ht="29.25">
      <c r="B367" s="33"/>
      <c r="D367" s="142" t="s">
        <v>187</v>
      </c>
      <c r="F367" s="143" t="s">
        <v>1655</v>
      </c>
      <c r="I367" s="144"/>
      <c r="L367" s="33"/>
      <c r="M367" s="145"/>
      <c r="T367" s="54"/>
      <c r="AT367" s="18" t="s">
        <v>187</v>
      </c>
      <c r="AU367" s="18" t="s">
        <v>87</v>
      </c>
    </row>
    <row r="368" spans="2:47" s="1" customFormat="1" ht="11.25">
      <c r="B368" s="33"/>
      <c r="D368" s="146" t="s">
        <v>189</v>
      </c>
      <c r="F368" s="147" t="s">
        <v>1656</v>
      </c>
      <c r="I368" s="144"/>
      <c r="L368" s="33"/>
      <c r="M368" s="145"/>
      <c r="T368" s="54"/>
      <c r="AT368" s="18" t="s">
        <v>189</v>
      </c>
      <c r="AU368" s="18" t="s">
        <v>87</v>
      </c>
    </row>
    <row r="369" spans="2:47" s="1" customFormat="1" ht="126.75">
      <c r="B369" s="33"/>
      <c r="D369" s="142" t="s">
        <v>191</v>
      </c>
      <c r="F369" s="148" t="s">
        <v>1651</v>
      </c>
      <c r="I369" s="144"/>
      <c r="L369" s="33"/>
      <c r="M369" s="145"/>
      <c r="T369" s="54"/>
      <c r="AT369" s="18" t="s">
        <v>191</v>
      </c>
      <c r="AU369" s="18" t="s">
        <v>87</v>
      </c>
    </row>
    <row r="370" spans="2:63" s="11" customFormat="1" ht="22.9" customHeight="1">
      <c r="B370" s="116"/>
      <c r="D370" s="117" t="s">
        <v>76</v>
      </c>
      <c r="E370" s="126" t="s">
        <v>2985</v>
      </c>
      <c r="F370" s="126" t="s">
        <v>2986</v>
      </c>
      <c r="I370" s="119"/>
      <c r="J370" s="127">
        <f>BK370</f>
        <v>0</v>
      </c>
      <c r="L370" s="116"/>
      <c r="M370" s="121"/>
      <c r="P370" s="122">
        <f>SUM(P371:P447)</f>
        <v>0</v>
      </c>
      <c r="R370" s="122">
        <f>SUM(R371:R447)</f>
        <v>6.13166225</v>
      </c>
      <c r="T370" s="123">
        <f>SUM(T371:T447)</f>
        <v>0</v>
      </c>
      <c r="AR370" s="117" t="s">
        <v>87</v>
      </c>
      <c r="AT370" s="124" t="s">
        <v>76</v>
      </c>
      <c r="AU370" s="124" t="s">
        <v>85</v>
      </c>
      <c r="AY370" s="117" t="s">
        <v>177</v>
      </c>
      <c r="BK370" s="125">
        <f>SUM(BK371:BK447)</f>
        <v>0</v>
      </c>
    </row>
    <row r="371" spans="2:65" s="1" customFormat="1" ht="16.5" customHeight="1">
      <c r="B371" s="128"/>
      <c r="C371" s="129" t="s">
        <v>1214</v>
      </c>
      <c r="D371" s="129" t="s">
        <v>180</v>
      </c>
      <c r="E371" s="130" t="s">
        <v>2988</v>
      </c>
      <c r="F371" s="131" t="s">
        <v>2989</v>
      </c>
      <c r="G371" s="132" t="s">
        <v>332</v>
      </c>
      <c r="H371" s="133">
        <v>149.7</v>
      </c>
      <c r="I371" s="134"/>
      <c r="J371" s="135">
        <f>ROUND(I371*H371,2)</f>
        <v>0</v>
      </c>
      <c r="K371" s="131" t="s">
        <v>184</v>
      </c>
      <c r="L371" s="33"/>
      <c r="M371" s="136" t="s">
        <v>3</v>
      </c>
      <c r="N371" s="137" t="s">
        <v>48</v>
      </c>
      <c r="P371" s="138">
        <f>O371*H371</f>
        <v>0</v>
      </c>
      <c r="Q371" s="138">
        <v>0</v>
      </c>
      <c r="R371" s="138">
        <f>Q371*H371</f>
        <v>0</v>
      </c>
      <c r="S371" s="138">
        <v>0</v>
      </c>
      <c r="T371" s="139">
        <f>S371*H371</f>
        <v>0</v>
      </c>
      <c r="AR371" s="140" t="s">
        <v>237</v>
      </c>
      <c r="AT371" s="140" t="s">
        <v>180</v>
      </c>
      <c r="AU371" s="140" t="s">
        <v>87</v>
      </c>
      <c r="AY371" s="18" t="s">
        <v>177</v>
      </c>
      <c r="BE371" s="141">
        <f>IF(N371="základní",J371,0)</f>
        <v>0</v>
      </c>
      <c r="BF371" s="141">
        <f>IF(N371="snížená",J371,0)</f>
        <v>0</v>
      </c>
      <c r="BG371" s="141">
        <f>IF(N371="zákl. přenesená",J371,0)</f>
        <v>0</v>
      </c>
      <c r="BH371" s="141">
        <f>IF(N371="sníž. přenesená",J371,0)</f>
        <v>0</v>
      </c>
      <c r="BI371" s="141">
        <f>IF(N371="nulová",J371,0)</f>
        <v>0</v>
      </c>
      <c r="BJ371" s="18" t="s">
        <v>85</v>
      </c>
      <c r="BK371" s="141">
        <f>ROUND(I371*H371,2)</f>
        <v>0</v>
      </c>
      <c r="BL371" s="18" t="s">
        <v>237</v>
      </c>
      <c r="BM371" s="140" t="s">
        <v>3384</v>
      </c>
    </row>
    <row r="372" spans="2:47" s="1" customFormat="1" ht="11.25">
      <c r="B372" s="33"/>
      <c r="D372" s="142" t="s">
        <v>187</v>
      </c>
      <c r="F372" s="143" t="s">
        <v>2991</v>
      </c>
      <c r="I372" s="144"/>
      <c r="L372" s="33"/>
      <c r="M372" s="145"/>
      <c r="T372" s="54"/>
      <c r="AT372" s="18" t="s">
        <v>187</v>
      </c>
      <c r="AU372" s="18" t="s">
        <v>87</v>
      </c>
    </row>
    <row r="373" spans="2:47" s="1" customFormat="1" ht="11.25">
      <c r="B373" s="33"/>
      <c r="D373" s="146" t="s">
        <v>189</v>
      </c>
      <c r="F373" s="147" t="s">
        <v>2992</v>
      </c>
      <c r="I373" s="144"/>
      <c r="L373" s="33"/>
      <c r="M373" s="145"/>
      <c r="T373" s="54"/>
      <c r="AT373" s="18" t="s">
        <v>189</v>
      </c>
      <c r="AU373" s="18" t="s">
        <v>87</v>
      </c>
    </row>
    <row r="374" spans="2:47" s="1" customFormat="1" ht="78">
      <c r="B374" s="33"/>
      <c r="D374" s="142" t="s">
        <v>191</v>
      </c>
      <c r="F374" s="148" t="s">
        <v>2993</v>
      </c>
      <c r="I374" s="144"/>
      <c r="L374" s="33"/>
      <c r="M374" s="145"/>
      <c r="T374" s="54"/>
      <c r="AT374" s="18" t="s">
        <v>191</v>
      </c>
      <c r="AU374" s="18" t="s">
        <v>87</v>
      </c>
    </row>
    <row r="375" spans="2:65" s="1" customFormat="1" ht="16.5" customHeight="1">
      <c r="B375" s="128"/>
      <c r="C375" s="129" t="s">
        <v>1222</v>
      </c>
      <c r="D375" s="129" t="s">
        <v>180</v>
      </c>
      <c r="E375" s="130" t="s">
        <v>2995</v>
      </c>
      <c r="F375" s="131" t="s">
        <v>2996</v>
      </c>
      <c r="G375" s="132" t="s">
        <v>332</v>
      </c>
      <c r="H375" s="133">
        <v>149.7</v>
      </c>
      <c r="I375" s="134"/>
      <c r="J375" s="135">
        <f>ROUND(I375*H375,2)</f>
        <v>0</v>
      </c>
      <c r="K375" s="131" t="s">
        <v>184</v>
      </c>
      <c r="L375" s="33"/>
      <c r="M375" s="136" t="s">
        <v>3</v>
      </c>
      <c r="N375" s="137" t="s">
        <v>48</v>
      </c>
      <c r="P375" s="138">
        <f>O375*H375</f>
        <v>0</v>
      </c>
      <c r="Q375" s="138">
        <v>0.0003</v>
      </c>
      <c r="R375" s="138">
        <f>Q375*H375</f>
        <v>0.04490999999999999</v>
      </c>
      <c r="S375" s="138">
        <v>0</v>
      </c>
      <c r="T375" s="139">
        <f>S375*H375</f>
        <v>0</v>
      </c>
      <c r="AR375" s="140" t="s">
        <v>237</v>
      </c>
      <c r="AT375" s="140" t="s">
        <v>180</v>
      </c>
      <c r="AU375" s="140" t="s">
        <v>87</v>
      </c>
      <c r="AY375" s="18" t="s">
        <v>177</v>
      </c>
      <c r="BE375" s="141">
        <f>IF(N375="základní",J375,0)</f>
        <v>0</v>
      </c>
      <c r="BF375" s="141">
        <f>IF(N375="snížená",J375,0)</f>
        <v>0</v>
      </c>
      <c r="BG375" s="141">
        <f>IF(N375="zákl. přenesená",J375,0)</f>
        <v>0</v>
      </c>
      <c r="BH375" s="141">
        <f>IF(N375="sníž. přenesená",J375,0)</f>
        <v>0</v>
      </c>
      <c r="BI375" s="141">
        <f>IF(N375="nulová",J375,0)</f>
        <v>0</v>
      </c>
      <c r="BJ375" s="18" t="s">
        <v>85</v>
      </c>
      <c r="BK375" s="141">
        <f>ROUND(I375*H375,2)</f>
        <v>0</v>
      </c>
      <c r="BL375" s="18" t="s">
        <v>237</v>
      </c>
      <c r="BM375" s="140" t="s">
        <v>3385</v>
      </c>
    </row>
    <row r="376" spans="2:47" s="1" customFormat="1" ht="19.5">
      <c r="B376" s="33"/>
      <c r="D376" s="142" t="s">
        <v>187</v>
      </c>
      <c r="F376" s="143" t="s">
        <v>2998</v>
      </c>
      <c r="I376" s="144"/>
      <c r="L376" s="33"/>
      <c r="M376" s="145"/>
      <c r="T376" s="54"/>
      <c r="AT376" s="18" t="s">
        <v>187</v>
      </c>
      <c r="AU376" s="18" t="s">
        <v>87</v>
      </c>
    </row>
    <row r="377" spans="2:47" s="1" customFormat="1" ht="11.25">
      <c r="B377" s="33"/>
      <c r="D377" s="146" t="s">
        <v>189</v>
      </c>
      <c r="F377" s="147" t="s">
        <v>2999</v>
      </c>
      <c r="I377" s="144"/>
      <c r="L377" s="33"/>
      <c r="M377" s="145"/>
      <c r="T377" s="54"/>
      <c r="AT377" s="18" t="s">
        <v>189</v>
      </c>
      <c r="AU377" s="18" t="s">
        <v>87</v>
      </c>
    </row>
    <row r="378" spans="2:47" s="1" customFormat="1" ht="78">
      <c r="B378" s="33"/>
      <c r="D378" s="142" t="s">
        <v>191</v>
      </c>
      <c r="F378" s="148" t="s">
        <v>2993</v>
      </c>
      <c r="I378" s="144"/>
      <c r="L378" s="33"/>
      <c r="M378" s="145"/>
      <c r="T378" s="54"/>
      <c r="AT378" s="18" t="s">
        <v>191</v>
      </c>
      <c r="AU378" s="18" t="s">
        <v>87</v>
      </c>
    </row>
    <row r="379" spans="2:65" s="1" customFormat="1" ht="21.75" customHeight="1">
      <c r="B379" s="128"/>
      <c r="C379" s="129" t="s">
        <v>1229</v>
      </c>
      <c r="D379" s="129" t="s">
        <v>180</v>
      </c>
      <c r="E379" s="130" t="s">
        <v>3386</v>
      </c>
      <c r="F379" s="131" t="s">
        <v>3387</v>
      </c>
      <c r="G379" s="132" t="s">
        <v>332</v>
      </c>
      <c r="H379" s="133">
        <v>149.7</v>
      </c>
      <c r="I379" s="134"/>
      <c r="J379" s="135">
        <f>ROUND(I379*H379,2)</f>
        <v>0</v>
      </c>
      <c r="K379" s="131" t="s">
        <v>184</v>
      </c>
      <c r="L379" s="33"/>
      <c r="M379" s="136" t="s">
        <v>3</v>
      </c>
      <c r="N379" s="137" t="s">
        <v>48</v>
      </c>
      <c r="P379" s="138">
        <f>O379*H379</f>
        <v>0</v>
      </c>
      <c r="Q379" s="138">
        <v>0.0045</v>
      </c>
      <c r="R379" s="138">
        <f>Q379*H379</f>
        <v>0.6736499999999999</v>
      </c>
      <c r="S379" s="138">
        <v>0</v>
      </c>
      <c r="T379" s="139">
        <f>S379*H379</f>
        <v>0</v>
      </c>
      <c r="AR379" s="140" t="s">
        <v>237</v>
      </c>
      <c r="AT379" s="140" t="s">
        <v>180</v>
      </c>
      <c r="AU379" s="140" t="s">
        <v>87</v>
      </c>
      <c r="AY379" s="18" t="s">
        <v>177</v>
      </c>
      <c r="BE379" s="141">
        <f>IF(N379="základní",J379,0)</f>
        <v>0</v>
      </c>
      <c r="BF379" s="141">
        <f>IF(N379="snížená",J379,0)</f>
        <v>0</v>
      </c>
      <c r="BG379" s="141">
        <f>IF(N379="zákl. přenesená",J379,0)</f>
        <v>0</v>
      </c>
      <c r="BH379" s="141">
        <f>IF(N379="sníž. přenesená",J379,0)</f>
        <v>0</v>
      </c>
      <c r="BI379" s="141">
        <f>IF(N379="nulová",J379,0)</f>
        <v>0</v>
      </c>
      <c r="BJ379" s="18" t="s">
        <v>85</v>
      </c>
      <c r="BK379" s="141">
        <f>ROUND(I379*H379,2)</f>
        <v>0</v>
      </c>
      <c r="BL379" s="18" t="s">
        <v>237</v>
      </c>
      <c r="BM379" s="140" t="s">
        <v>3388</v>
      </c>
    </row>
    <row r="380" spans="2:47" s="1" customFormat="1" ht="19.5">
      <c r="B380" s="33"/>
      <c r="D380" s="142" t="s">
        <v>187</v>
      </c>
      <c r="F380" s="143" t="s">
        <v>3389</v>
      </c>
      <c r="I380" s="144"/>
      <c r="L380" s="33"/>
      <c r="M380" s="145"/>
      <c r="T380" s="54"/>
      <c r="AT380" s="18" t="s">
        <v>187</v>
      </c>
      <c r="AU380" s="18" t="s">
        <v>87</v>
      </c>
    </row>
    <row r="381" spans="2:47" s="1" customFormat="1" ht="11.25">
      <c r="B381" s="33"/>
      <c r="D381" s="146" t="s">
        <v>189</v>
      </c>
      <c r="F381" s="147" t="s">
        <v>3390</v>
      </c>
      <c r="I381" s="144"/>
      <c r="L381" s="33"/>
      <c r="M381" s="145"/>
      <c r="T381" s="54"/>
      <c r="AT381" s="18" t="s">
        <v>189</v>
      </c>
      <c r="AU381" s="18" t="s">
        <v>87</v>
      </c>
    </row>
    <row r="382" spans="2:47" s="1" customFormat="1" ht="78">
      <c r="B382" s="33"/>
      <c r="D382" s="142" t="s">
        <v>191</v>
      </c>
      <c r="F382" s="148" t="s">
        <v>2993</v>
      </c>
      <c r="I382" s="144"/>
      <c r="L382" s="33"/>
      <c r="M382" s="145"/>
      <c r="T382" s="54"/>
      <c r="AT382" s="18" t="s">
        <v>191</v>
      </c>
      <c r="AU382" s="18" t="s">
        <v>87</v>
      </c>
    </row>
    <row r="383" spans="2:65" s="1" customFormat="1" ht="33" customHeight="1">
      <c r="B383" s="128"/>
      <c r="C383" s="129" t="s">
        <v>1233</v>
      </c>
      <c r="D383" s="129" t="s">
        <v>180</v>
      </c>
      <c r="E383" s="130" t="s">
        <v>3014</v>
      </c>
      <c r="F383" s="131" t="s">
        <v>3015</v>
      </c>
      <c r="G383" s="132" t="s">
        <v>476</v>
      </c>
      <c r="H383" s="133">
        <v>36.45</v>
      </c>
      <c r="I383" s="134"/>
      <c r="J383" s="135">
        <f>ROUND(I383*H383,2)</f>
        <v>0</v>
      </c>
      <c r="K383" s="131" t="s">
        <v>184</v>
      </c>
      <c r="L383" s="33"/>
      <c r="M383" s="136" t="s">
        <v>3</v>
      </c>
      <c r="N383" s="137" t="s">
        <v>48</v>
      </c>
      <c r="P383" s="138">
        <f>O383*H383</f>
        <v>0</v>
      </c>
      <c r="Q383" s="138">
        <v>0.00153</v>
      </c>
      <c r="R383" s="138">
        <f>Q383*H383</f>
        <v>0.0557685</v>
      </c>
      <c r="S383" s="138">
        <v>0</v>
      </c>
      <c r="T383" s="139">
        <f>S383*H383</f>
        <v>0</v>
      </c>
      <c r="AR383" s="140" t="s">
        <v>237</v>
      </c>
      <c r="AT383" s="140" t="s">
        <v>180</v>
      </c>
      <c r="AU383" s="140" t="s">
        <v>87</v>
      </c>
      <c r="AY383" s="18" t="s">
        <v>177</v>
      </c>
      <c r="BE383" s="141">
        <f>IF(N383="základní",J383,0)</f>
        <v>0</v>
      </c>
      <c r="BF383" s="141">
        <f>IF(N383="snížená",J383,0)</f>
        <v>0</v>
      </c>
      <c r="BG383" s="141">
        <f>IF(N383="zákl. přenesená",J383,0)</f>
        <v>0</v>
      </c>
      <c r="BH383" s="141">
        <f>IF(N383="sníž. přenesená",J383,0)</f>
        <v>0</v>
      </c>
      <c r="BI383" s="141">
        <f>IF(N383="nulová",J383,0)</f>
        <v>0</v>
      </c>
      <c r="BJ383" s="18" t="s">
        <v>85</v>
      </c>
      <c r="BK383" s="141">
        <f>ROUND(I383*H383,2)</f>
        <v>0</v>
      </c>
      <c r="BL383" s="18" t="s">
        <v>237</v>
      </c>
      <c r="BM383" s="140" t="s">
        <v>3391</v>
      </c>
    </row>
    <row r="384" spans="2:47" s="1" customFormat="1" ht="29.25">
      <c r="B384" s="33"/>
      <c r="D384" s="142" t="s">
        <v>187</v>
      </c>
      <c r="F384" s="143" t="s">
        <v>3017</v>
      </c>
      <c r="I384" s="144"/>
      <c r="L384" s="33"/>
      <c r="M384" s="145"/>
      <c r="T384" s="54"/>
      <c r="AT384" s="18" t="s">
        <v>187</v>
      </c>
      <c r="AU384" s="18" t="s">
        <v>87</v>
      </c>
    </row>
    <row r="385" spans="2:47" s="1" customFormat="1" ht="11.25">
      <c r="B385" s="33"/>
      <c r="D385" s="146" t="s">
        <v>189</v>
      </c>
      <c r="F385" s="147" t="s">
        <v>3018</v>
      </c>
      <c r="I385" s="144"/>
      <c r="L385" s="33"/>
      <c r="M385" s="145"/>
      <c r="T385" s="54"/>
      <c r="AT385" s="18" t="s">
        <v>189</v>
      </c>
      <c r="AU385" s="18" t="s">
        <v>87</v>
      </c>
    </row>
    <row r="386" spans="2:47" s="1" customFormat="1" ht="58.5">
      <c r="B386" s="33"/>
      <c r="D386" s="142" t="s">
        <v>191</v>
      </c>
      <c r="F386" s="148" t="s">
        <v>3019</v>
      </c>
      <c r="I386" s="144"/>
      <c r="L386" s="33"/>
      <c r="M386" s="145"/>
      <c r="T386" s="54"/>
      <c r="AT386" s="18" t="s">
        <v>191</v>
      </c>
      <c r="AU386" s="18" t="s">
        <v>87</v>
      </c>
    </row>
    <row r="387" spans="2:51" s="12" customFormat="1" ht="11.25">
      <c r="B387" s="149"/>
      <c r="D387" s="142" t="s">
        <v>193</v>
      </c>
      <c r="E387" s="150" t="s">
        <v>3</v>
      </c>
      <c r="F387" s="151" t="s">
        <v>3392</v>
      </c>
      <c r="H387" s="152">
        <v>36.45</v>
      </c>
      <c r="I387" s="153"/>
      <c r="L387" s="149"/>
      <c r="M387" s="154"/>
      <c r="T387" s="155"/>
      <c r="AT387" s="150" t="s">
        <v>193</v>
      </c>
      <c r="AU387" s="150" t="s">
        <v>87</v>
      </c>
      <c r="AV387" s="12" t="s">
        <v>87</v>
      </c>
      <c r="AW387" s="12" t="s">
        <v>36</v>
      </c>
      <c r="AX387" s="12" t="s">
        <v>85</v>
      </c>
      <c r="AY387" s="150" t="s">
        <v>177</v>
      </c>
    </row>
    <row r="388" spans="2:65" s="1" customFormat="1" ht="24.2" customHeight="1">
      <c r="B388" s="128"/>
      <c r="C388" s="129" t="s">
        <v>1237</v>
      </c>
      <c r="D388" s="129" t="s">
        <v>180</v>
      </c>
      <c r="E388" s="130" t="s">
        <v>3022</v>
      </c>
      <c r="F388" s="131" t="s">
        <v>3023</v>
      </c>
      <c r="G388" s="132" t="s">
        <v>476</v>
      </c>
      <c r="H388" s="133">
        <v>36.45</v>
      </c>
      <c r="I388" s="134"/>
      <c r="J388" s="135">
        <f>ROUND(I388*H388,2)</f>
        <v>0</v>
      </c>
      <c r="K388" s="131" t="s">
        <v>184</v>
      </c>
      <c r="L388" s="33"/>
      <c r="M388" s="136" t="s">
        <v>3</v>
      </c>
      <c r="N388" s="137" t="s">
        <v>48</v>
      </c>
      <c r="P388" s="138">
        <f>O388*H388</f>
        <v>0</v>
      </c>
      <c r="Q388" s="138">
        <v>0.00075</v>
      </c>
      <c r="R388" s="138">
        <f>Q388*H388</f>
        <v>0.027337500000000004</v>
      </c>
      <c r="S388" s="138">
        <v>0</v>
      </c>
      <c r="T388" s="139">
        <f>S388*H388</f>
        <v>0</v>
      </c>
      <c r="AR388" s="140" t="s">
        <v>237</v>
      </c>
      <c r="AT388" s="140" t="s">
        <v>180</v>
      </c>
      <c r="AU388" s="140" t="s">
        <v>87</v>
      </c>
      <c r="AY388" s="18" t="s">
        <v>177</v>
      </c>
      <c r="BE388" s="141">
        <f>IF(N388="základní",J388,0)</f>
        <v>0</v>
      </c>
      <c r="BF388" s="141">
        <f>IF(N388="snížená",J388,0)</f>
        <v>0</v>
      </c>
      <c r="BG388" s="141">
        <f>IF(N388="zákl. přenesená",J388,0)</f>
        <v>0</v>
      </c>
      <c r="BH388" s="141">
        <f>IF(N388="sníž. přenesená",J388,0)</f>
        <v>0</v>
      </c>
      <c r="BI388" s="141">
        <f>IF(N388="nulová",J388,0)</f>
        <v>0</v>
      </c>
      <c r="BJ388" s="18" t="s">
        <v>85</v>
      </c>
      <c r="BK388" s="141">
        <f>ROUND(I388*H388,2)</f>
        <v>0</v>
      </c>
      <c r="BL388" s="18" t="s">
        <v>237</v>
      </c>
      <c r="BM388" s="140" t="s">
        <v>3393</v>
      </c>
    </row>
    <row r="389" spans="2:47" s="1" customFormat="1" ht="29.25">
      <c r="B389" s="33"/>
      <c r="D389" s="142" t="s">
        <v>187</v>
      </c>
      <c r="F389" s="143" t="s">
        <v>3025</v>
      </c>
      <c r="I389" s="144"/>
      <c r="L389" s="33"/>
      <c r="M389" s="145"/>
      <c r="T389" s="54"/>
      <c r="AT389" s="18" t="s">
        <v>187</v>
      </c>
      <c r="AU389" s="18" t="s">
        <v>87</v>
      </c>
    </row>
    <row r="390" spans="2:47" s="1" customFormat="1" ht="11.25">
      <c r="B390" s="33"/>
      <c r="D390" s="146" t="s">
        <v>189</v>
      </c>
      <c r="F390" s="147" t="s">
        <v>3026</v>
      </c>
      <c r="I390" s="144"/>
      <c r="L390" s="33"/>
      <c r="M390" s="145"/>
      <c r="T390" s="54"/>
      <c r="AT390" s="18" t="s">
        <v>189</v>
      </c>
      <c r="AU390" s="18" t="s">
        <v>87</v>
      </c>
    </row>
    <row r="391" spans="2:47" s="1" customFormat="1" ht="58.5">
      <c r="B391" s="33"/>
      <c r="D391" s="142" t="s">
        <v>191</v>
      </c>
      <c r="F391" s="148" t="s">
        <v>3019</v>
      </c>
      <c r="I391" s="144"/>
      <c r="L391" s="33"/>
      <c r="M391" s="145"/>
      <c r="T391" s="54"/>
      <c r="AT391" s="18" t="s">
        <v>191</v>
      </c>
      <c r="AU391" s="18" t="s">
        <v>87</v>
      </c>
    </row>
    <row r="392" spans="2:65" s="1" customFormat="1" ht="24.2" customHeight="1">
      <c r="B392" s="128"/>
      <c r="C392" s="129" t="s">
        <v>1247</v>
      </c>
      <c r="D392" s="129" t="s">
        <v>180</v>
      </c>
      <c r="E392" s="130" t="s">
        <v>3028</v>
      </c>
      <c r="F392" s="131" t="s">
        <v>3029</v>
      </c>
      <c r="G392" s="132" t="s">
        <v>476</v>
      </c>
      <c r="H392" s="133">
        <v>172.36</v>
      </c>
      <c r="I392" s="134"/>
      <c r="J392" s="135">
        <f>ROUND(I392*H392,2)</f>
        <v>0</v>
      </c>
      <c r="K392" s="131" t="s">
        <v>184</v>
      </c>
      <c r="L392" s="33"/>
      <c r="M392" s="136" t="s">
        <v>3</v>
      </c>
      <c r="N392" s="137" t="s">
        <v>48</v>
      </c>
      <c r="P392" s="138">
        <f>O392*H392</f>
        <v>0</v>
      </c>
      <c r="Q392" s="138">
        <v>0.000584</v>
      </c>
      <c r="R392" s="138">
        <f>Q392*H392</f>
        <v>0.10065824000000001</v>
      </c>
      <c r="S392" s="138">
        <v>0</v>
      </c>
      <c r="T392" s="139">
        <f>S392*H392</f>
        <v>0</v>
      </c>
      <c r="AR392" s="140" t="s">
        <v>237</v>
      </c>
      <c r="AT392" s="140" t="s">
        <v>180</v>
      </c>
      <c r="AU392" s="140" t="s">
        <v>87</v>
      </c>
      <c r="AY392" s="18" t="s">
        <v>177</v>
      </c>
      <c r="BE392" s="141">
        <f>IF(N392="základní",J392,0)</f>
        <v>0</v>
      </c>
      <c r="BF392" s="141">
        <f>IF(N392="snížená",J392,0)</f>
        <v>0</v>
      </c>
      <c r="BG392" s="141">
        <f>IF(N392="zákl. přenesená",J392,0)</f>
        <v>0</v>
      </c>
      <c r="BH392" s="141">
        <f>IF(N392="sníž. přenesená",J392,0)</f>
        <v>0</v>
      </c>
      <c r="BI392" s="141">
        <f>IF(N392="nulová",J392,0)</f>
        <v>0</v>
      </c>
      <c r="BJ392" s="18" t="s">
        <v>85</v>
      </c>
      <c r="BK392" s="141">
        <f>ROUND(I392*H392,2)</f>
        <v>0</v>
      </c>
      <c r="BL392" s="18" t="s">
        <v>237</v>
      </c>
      <c r="BM392" s="140" t="s">
        <v>3394</v>
      </c>
    </row>
    <row r="393" spans="2:47" s="1" customFormat="1" ht="19.5">
      <c r="B393" s="33"/>
      <c r="D393" s="142" t="s">
        <v>187</v>
      </c>
      <c r="F393" s="143" t="s">
        <v>3031</v>
      </c>
      <c r="I393" s="144"/>
      <c r="L393" s="33"/>
      <c r="M393" s="145"/>
      <c r="T393" s="54"/>
      <c r="AT393" s="18" t="s">
        <v>187</v>
      </c>
      <c r="AU393" s="18" t="s">
        <v>87</v>
      </c>
    </row>
    <row r="394" spans="2:47" s="1" customFormat="1" ht="11.25">
      <c r="B394" s="33"/>
      <c r="D394" s="146" t="s">
        <v>189</v>
      </c>
      <c r="F394" s="147" t="s">
        <v>3032</v>
      </c>
      <c r="I394" s="144"/>
      <c r="L394" s="33"/>
      <c r="M394" s="145"/>
      <c r="T394" s="54"/>
      <c r="AT394" s="18" t="s">
        <v>189</v>
      </c>
      <c r="AU394" s="18" t="s">
        <v>87</v>
      </c>
    </row>
    <row r="395" spans="2:51" s="12" customFormat="1" ht="11.25">
      <c r="B395" s="149"/>
      <c r="D395" s="142" t="s">
        <v>193</v>
      </c>
      <c r="E395" s="150" t="s">
        <v>3</v>
      </c>
      <c r="F395" s="151" t="s">
        <v>3395</v>
      </c>
      <c r="H395" s="152">
        <v>30.84</v>
      </c>
      <c r="I395" s="153"/>
      <c r="L395" s="149"/>
      <c r="M395" s="154"/>
      <c r="T395" s="155"/>
      <c r="AT395" s="150" t="s">
        <v>193</v>
      </c>
      <c r="AU395" s="150" t="s">
        <v>87</v>
      </c>
      <c r="AV395" s="12" t="s">
        <v>87</v>
      </c>
      <c r="AW395" s="12" t="s">
        <v>36</v>
      </c>
      <c r="AX395" s="12" t="s">
        <v>77</v>
      </c>
      <c r="AY395" s="150" t="s">
        <v>177</v>
      </c>
    </row>
    <row r="396" spans="2:51" s="12" customFormat="1" ht="11.25">
      <c r="B396" s="149"/>
      <c r="D396" s="142" t="s">
        <v>193</v>
      </c>
      <c r="E396" s="150" t="s">
        <v>3</v>
      </c>
      <c r="F396" s="151" t="s">
        <v>3396</v>
      </c>
      <c r="H396" s="152">
        <v>15.34</v>
      </c>
      <c r="I396" s="153"/>
      <c r="L396" s="149"/>
      <c r="M396" s="154"/>
      <c r="T396" s="155"/>
      <c r="AT396" s="150" t="s">
        <v>193</v>
      </c>
      <c r="AU396" s="150" t="s">
        <v>87</v>
      </c>
      <c r="AV396" s="12" t="s">
        <v>87</v>
      </c>
      <c r="AW396" s="12" t="s">
        <v>36</v>
      </c>
      <c r="AX396" s="12" t="s">
        <v>77</v>
      </c>
      <c r="AY396" s="150" t="s">
        <v>177</v>
      </c>
    </row>
    <row r="397" spans="2:51" s="12" customFormat="1" ht="11.25">
      <c r="B397" s="149"/>
      <c r="D397" s="142" t="s">
        <v>193</v>
      </c>
      <c r="E397" s="150" t="s">
        <v>3</v>
      </c>
      <c r="F397" s="151" t="s">
        <v>3397</v>
      </c>
      <c r="H397" s="152">
        <v>11.21</v>
      </c>
      <c r="I397" s="153"/>
      <c r="L397" s="149"/>
      <c r="M397" s="154"/>
      <c r="T397" s="155"/>
      <c r="AT397" s="150" t="s">
        <v>193</v>
      </c>
      <c r="AU397" s="150" t="s">
        <v>87</v>
      </c>
      <c r="AV397" s="12" t="s">
        <v>87</v>
      </c>
      <c r="AW397" s="12" t="s">
        <v>36</v>
      </c>
      <c r="AX397" s="12" t="s">
        <v>77</v>
      </c>
      <c r="AY397" s="150" t="s">
        <v>177</v>
      </c>
    </row>
    <row r="398" spans="2:51" s="12" customFormat="1" ht="11.25">
      <c r="B398" s="149"/>
      <c r="D398" s="142" t="s">
        <v>193</v>
      </c>
      <c r="E398" s="150" t="s">
        <v>3</v>
      </c>
      <c r="F398" s="151" t="s">
        <v>3398</v>
      </c>
      <c r="H398" s="152">
        <v>8.25</v>
      </c>
      <c r="I398" s="153"/>
      <c r="L398" s="149"/>
      <c r="M398" s="154"/>
      <c r="T398" s="155"/>
      <c r="AT398" s="150" t="s">
        <v>193</v>
      </c>
      <c r="AU398" s="150" t="s">
        <v>87</v>
      </c>
      <c r="AV398" s="12" t="s">
        <v>87</v>
      </c>
      <c r="AW398" s="12" t="s">
        <v>36</v>
      </c>
      <c r="AX398" s="12" t="s">
        <v>77</v>
      </c>
      <c r="AY398" s="150" t="s">
        <v>177</v>
      </c>
    </row>
    <row r="399" spans="2:51" s="12" customFormat="1" ht="11.25">
      <c r="B399" s="149"/>
      <c r="D399" s="142" t="s">
        <v>193</v>
      </c>
      <c r="E399" s="150" t="s">
        <v>3</v>
      </c>
      <c r="F399" s="151" t="s">
        <v>3399</v>
      </c>
      <c r="H399" s="152">
        <v>9.55</v>
      </c>
      <c r="I399" s="153"/>
      <c r="L399" s="149"/>
      <c r="M399" s="154"/>
      <c r="T399" s="155"/>
      <c r="AT399" s="150" t="s">
        <v>193</v>
      </c>
      <c r="AU399" s="150" t="s">
        <v>87</v>
      </c>
      <c r="AV399" s="12" t="s">
        <v>87</v>
      </c>
      <c r="AW399" s="12" t="s">
        <v>36</v>
      </c>
      <c r="AX399" s="12" t="s">
        <v>77</v>
      </c>
      <c r="AY399" s="150" t="s">
        <v>177</v>
      </c>
    </row>
    <row r="400" spans="2:51" s="12" customFormat="1" ht="11.25">
      <c r="B400" s="149"/>
      <c r="D400" s="142" t="s">
        <v>193</v>
      </c>
      <c r="E400" s="150" t="s">
        <v>3</v>
      </c>
      <c r="F400" s="151" t="s">
        <v>3400</v>
      </c>
      <c r="H400" s="152">
        <v>7</v>
      </c>
      <c r="I400" s="153"/>
      <c r="L400" s="149"/>
      <c r="M400" s="154"/>
      <c r="T400" s="155"/>
      <c r="AT400" s="150" t="s">
        <v>193</v>
      </c>
      <c r="AU400" s="150" t="s">
        <v>87</v>
      </c>
      <c r="AV400" s="12" t="s">
        <v>87</v>
      </c>
      <c r="AW400" s="12" t="s">
        <v>36</v>
      </c>
      <c r="AX400" s="12" t="s">
        <v>77</v>
      </c>
      <c r="AY400" s="150" t="s">
        <v>177</v>
      </c>
    </row>
    <row r="401" spans="2:51" s="12" customFormat="1" ht="11.25">
      <c r="B401" s="149"/>
      <c r="D401" s="142" t="s">
        <v>193</v>
      </c>
      <c r="E401" s="150" t="s">
        <v>3</v>
      </c>
      <c r="F401" s="151" t="s">
        <v>3401</v>
      </c>
      <c r="H401" s="152">
        <v>5.52</v>
      </c>
      <c r="I401" s="153"/>
      <c r="L401" s="149"/>
      <c r="M401" s="154"/>
      <c r="T401" s="155"/>
      <c r="AT401" s="150" t="s">
        <v>193</v>
      </c>
      <c r="AU401" s="150" t="s">
        <v>87</v>
      </c>
      <c r="AV401" s="12" t="s">
        <v>87</v>
      </c>
      <c r="AW401" s="12" t="s">
        <v>36</v>
      </c>
      <c r="AX401" s="12" t="s">
        <v>77</v>
      </c>
      <c r="AY401" s="150" t="s">
        <v>177</v>
      </c>
    </row>
    <row r="402" spans="2:51" s="12" customFormat="1" ht="11.25">
      <c r="B402" s="149"/>
      <c r="D402" s="142" t="s">
        <v>193</v>
      </c>
      <c r="E402" s="150" t="s">
        <v>3</v>
      </c>
      <c r="F402" s="151" t="s">
        <v>3402</v>
      </c>
      <c r="H402" s="152">
        <v>8.37</v>
      </c>
      <c r="I402" s="153"/>
      <c r="L402" s="149"/>
      <c r="M402" s="154"/>
      <c r="T402" s="155"/>
      <c r="AT402" s="150" t="s">
        <v>193</v>
      </c>
      <c r="AU402" s="150" t="s">
        <v>87</v>
      </c>
      <c r="AV402" s="12" t="s">
        <v>87</v>
      </c>
      <c r="AW402" s="12" t="s">
        <v>36</v>
      </c>
      <c r="AX402" s="12" t="s">
        <v>77</v>
      </c>
      <c r="AY402" s="150" t="s">
        <v>177</v>
      </c>
    </row>
    <row r="403" spans="2:51" s="12" customFormat="1" ht="11.25">
      <c r="B403" s="149"/>
      <c r="D403" s="142" t="s">
        <v>193</v>
      </c>
      <c r="E403" s="150" t="s">
        <v>3</v>
      </c>
      <c r="F403" s="151" t="s">
        <v>3403</v>
      </c>
      <c r="H403" s="152">
        <v>8.67</v>
      </c>
      <c r="I403" s="153"/>
      <c r="L403" s="149"/>
      <c r="M403" s="154"/>
      <c r="T403" s="155"/>
      <c r="AT403" s="150" t="s">
        <v>193</v>
      </c>
      <c r="AU403" s="150" t="s">
        <v>87</v>
      </c>
      <c r="AV403" s="12" t="s">
        <v>87</v>
      </c>
      <c r="AW403" s="12" t="s">
        <v>36</v>
      </c>
      <c r="AX403" s="12" t="s">
        <v>77</v>
      </c>
      <c r="AY403" s="150" t="s">
        <v>177</v>
      </c>
    </row>
    <row r="404" spans="2:51" s="14" customFormat="1" ht="11.25">
      <c r="B404" s="162"/>
      <c r="D404" s="142" t="s">
        <v>193</v>
      </c>
      <c r="E404" s="163" t="s">
        <v>3</v>
      </c>
      <c r="F404" s="164" t="s">
        <v>197</v>
      </c>
      <c r="H404" s="165">
        <v>104.75</v>
      </c>
      <c r="I404" s="166"/>
      <c r="L404" s="162"/>
      <c r="M404" s="167"/>
      <c r="T404" s="168"/>
      <c r="AT404" s="163" t="s">
        <v>193</v>
      </c>
      <c r="AU404" s="163" t="s">
        <v>87</v>
      </c>
      <c r="AV404" s="14" t="s">
        <v>198</v>
      </c>
      <c r="AW404" s="14" t="s">
        <v>36</v>
      </c>
      <c r="AX404" s="14" t="s">
        <v>77</v>
      </c>
      <c r="AY404" s="163" t="s">
        <v>177</v>
      </c>
    </row>
    <row r="405" spans="2:51" s="12" customFormat="1" ht="11.25">
      <c r="B405" s="149"/>
      <c r="D405" s="142" t="s">
        <v>193</v>
      </c>
      <c r="E405" s="150" t="s">
        <v>3</v>
      </c>
      <c r="F405" s="151" t="s">
        <v>3397</v>
      </c>
      <c r="H405" s="152">
        <v>11.21</v>
      </c>
      <c r="I405" s="153"/>
      <c r="L405" s="149"/>
      <c r="M405" s="154"/>
      <c r="T405" s="155"/>
      <c r="AT405" s="150" t="s">
        <v>193</v>
      </c>
      <c r="AU405" s="150" t="s">
        <v>87</v>
      </c>
      <c r="AV405" s="12" t="s">
        <v>87</v>
      </c>
      <c r="AW405" s="12" t="s">
        <v>36</v>
      </c>
      <c r="AX405" s="12" t="s">
        <v>77</v>
      </c>
      <c r="AY405" s="150" t="s">
        <v>177</v>
      </c>
    </row>
    <row r="406" spans="2:51" s="12" customFormat="1" ht="11.25">
      <c r="B406" s="149"/>
      <c r="D406" s="142" t="s">
        <v>193</v>
      </c>
      <c r="E406" s="150" t="s">
        <v>3</v>
      </c>
      <c r="F406" s="151" t="s">
        <v>3404</v>
      </c>
      <c r="H406" s="152">
        <v>8.95</v>
      </c>
      <c r="I406" s="153"/>
      <c r="L406" s="149"/>
      <c r="M406" s="154"/>
      <c r="T406" s="155"/>
      <c r="AT406" s="150" t="s">
        <v>193</v>
      </c>
      <c r="AU406" s="150" t="s">
        <v>87</v>
      </c>
      <c r="AV406" s="12" t="s">
        <v>87</v>
      </c>
      <c r="AW406" s="12" t="s">
        <v>36</v>
      </c>
      <c r="AX406" s="12" t="s">
        <v>77</v>
      </c>
      <c r="AY406" s="150" t="s">
        <v>177</v>
      </c>
    </row>
    <row r="407" spans="2:51" s="12" customFormat="1" ht="11.25">
      <c r="B407" s="149"/>
      <c r="D407" s="142" t="s">
        <v>193</v>
      </c>
      <c r="E407" s="150" t="s">
        <v>3</v>
      </c>
      <c r="F407" s="151" t="s">
        <v>3405</v>
      </c>
      <c r="H407" s="152">
        <v>9.45</v>
      </c>
      <c r="I407" s="153"/>
      <c r="L407" s="149"/>
      <c r="M407" s="154"/>
      <c r="T407" s="155"/>
      <c r="AT407" s="150" t="s">
        <v>193</v>
      </c>
      <c r="AU407" s="150" t="s">
        <v>87</v>
      </c>
      <c r="AV407" s="12" t="s">
        <v>87</v>
      </c>
      <c r="AW407" s="12" t="s">
        <v>36</v>
      </c>
      <c r="AX407" s="12" t="s">
        <v>77</v>
      </c>
      <c r="AY407" s="150" t="s">
        <v>177</v>
      </c>
    </row>
    <row r="408" spans="2:51" s="12" customFormat="1" ht="11.25">
      <c r="B408" s="149"/>
      <c r="D408" s="142" t="s">
        <v>193</v>
      </c>
      <c r="E408" s="150" t="s">
        <v>3</v>
      </c>
      <c r="F408" s="151" t="s">
        <v>3406</v>
      </c>
      <c r="H408" s="152">
        <v>5.9</v>
      </c>
      <c r="I408" s="153"/>
      <c r="L408" s="149"/>
      <c r="M408" s="154"/>
      <c r="T408" s="155"/>
      <c r="AT408" s="150" t="s">
        <v>193</v>
      </c>
      <c r="AU408" s="150" t="s">
        <v>87</v>
      </c>
      <c r="AV408" s="12" t="s">
        <v>87</v>
      </c>
      <c r="AW408" s="12" t="s">
        <v>36</v>
      </c>
      <c r="AX408" s="12" t="s">
        <v>77</v>
      </c>
      <c r="AY408" s="150" t="s">
        <v>177</v>
      </c>
    </row>
    <row r="409" spans="2:51" s="12" customFormat="1" ht="11.25">
      <c r="B409" s="149"/>
      <c r="D409" s="142" t="s">
        <v>193</v>
      </c>
      <c r="E409" s="150" t="s">
        <v>3</v>
      </c>
      <c r="F409" s="151" t="s">
        <v>3407</v>
      </c>
      <c r="H409" s="152">
        <v>32.1</v>
      </c>
      <c r="I409" s="153"/>
      <c r="L409" s="149"/>
      <c r="M409" s="154"/>
      <c r="T409" s="155"/>
      <c r="AT409" s="150" t="s">
        <v>193</v>
      </c>
      <c r="AU409" s="150" t="s">
        <v>87</v>
      </c>
      <c r="AV409" s="12" t="s">
        <v>87</v>
      </c>
      <c r="AW409" s="12" t="s">
        <v>36</v>
      </c>
      <c r="AX409" s="12" t="s">
        <v>77</v>
      </c>
      <c r="AY409" s="150" t="s">
        <v>177</v>
      </c>
    </row>
    <row r="410" spans="2:51" s="14" customFormat="1" ht="11.25">
      <c r="B410" s="162"/>
      <c r="D410" s="142" t="s">
        <v>193</v>
      </c>
      <c r="E410" s="163" t="s">
        <v>3</v>
      </c>
      <c r="F410" s="164" t="s">
        <v>197</v>
      </c>
      <c r="H410" s="165">
        <v>67.61</v>
      </c>
      <c r="I410" s="166"/>
      <c r="L410" s="162"/>
      <c r="M410" s="167"/>
      <c r="T410" s="168"/>
      <c r="AT410" s="163" t="s">
        <v>193</v>
      </c>
      <c r="AU410" s="163" t="s">
        <v>87</v>
      </c>
      <c r="AV410" s="14" t="s">
        <v>198</v>
      </c>
      <c r="AW410" s="14" t="s">
        <v>36</v>
      </c>
      <c r="AX410" s="14" t="s">
        <v>77</v>
      </c>
      <c r="AY410" s="163" t="s">
        <v>177</v>
      </c>
    </row>
    <row r="411" spans="2:51" s="15" customFormat="1" ht="11.25">
      <c r="B411" s="169"/>
      <c r="D411" s="142" t="s">
        <v>193</v>
      </c>
      <c r="E411" s="170" t="s">
        <v>3</v>
      </c>
      <c r="F411" s="171" t="s">
        <v>201</v>
      </c>
      <c r="H411" s="172">
        <v>172.36</v>
      </c>
      <c r="I411" s="173"/>
      <c r="L411" s="169"/>
      <c r="M411" s="174"/>
      <c r="T411" s="175"/>
      <c r="AT411" s="170" t="s">
        <v>193</v>
      </c>
      <c r="AU411" s="170" t="s">
        <v>87</v>
      </c>
      <c r="AV411" s="15" t="s">
        <v>185</v>
      </c>
      <c r="AW411" s="15" t="s">
        <v>36</v>
      </c>
      <c r="AX411" s="15" t="s">
        <v>85</v>
      </c>
      <c r="AY411" s="170" t="s">
        <v>177</v>
      </c>
    </row>
    <row r="412" spans="2:65" s="1" customFormat="1" ht="24.2" customHeight="1">
      <c r="B412" s="128"/>
      <c r="C412" s="179" t="s">
        <v>1253</v>
      </c>
      <c r="D412" s="179" t="s">
        <v>484</v>
      </c>
      <c r="E412" s="180" t="s">
        <v>3034</v>
      </c>
      <c r="F412" s="181" t="s">
        <v>3035</v>
      </c>
      <c r="G412" s="182" t="s">
        <v>236</v>
      </c>
      <c r="H412" s="183">
        <v>574.533</v>
      </c>
      <c r="I412" s="184"/>
      <c r="J412" s="185">
        <f>ROUND(I412*H412,2)</f>
        <v>0</v>
      </c>
      <c r="K412" s="181" t="s">
        <v>184</v>
      </c>
      <c r="L412" s="186"/>
      <c r="M412" s="187" t="s">
        <v>3</v>
      </c>
      <c r="N412" s="188" t="s">
        <v>48</v>
      </c>
      <c r="P412" s="138">
        <f>O412*H412</f>
        <v>0</v>
      </c>
      <c r="Q412" s="138">
        <v>0.00047</v>
      </c>
      <c r="R412" s="138">
        <f>Q412*H412</f>
        <v>0.27003051</v>
      </c>
      <c r="S412" s="138">
        <v>0</v>
      </c>
      <c r="T412" s="139">
        <f>S412*H412</f>
        <v>0</v>
      </c>
      <c r="AR412" s="140" t="s">
        <v>537</v>
      </c>
      <c r="AT412" s="140" t="s">
        <v>484</v>
      </c>
      <c r="AU412" s="140" t="s">
        <v>87</v>
      </c>
      <c r="AY412" s="18" t="s">
        <v>177</v>
      </c>
      <c r="BE412" s="141">
        <f>IF(N412="základní",J412,0)</f>
        <v>0</v>
      </c>
      <c r="BF412" s="141">
        <f>IF(N412="snížená",J412,0)</f>
        <v>0</v>
      </c>
      <c r="BG412" s="141">
        <f>IF(N412="zákl. přenesená",J412,0)</f>
        <v>0</v>
      </c>
      <c r="BH412" s="141">
        <f>IF(N412="sníž. přenesená",J412,0)</f>
        <v>0</v>
      </c>
      <c r="BI412" s="141">
        <f>IF(N412="nulová",J412,0)</f>
        <v>0</v>
      </c>
      <c r="BJ412" s="18" t="s">
        <v>85</v>
      </c>
      <c r="BK412" s="141">
        <f>ROUND(I412*H412,2)</f>
        <v>0</v>
      </c>
      <c r="BL412" s="18" t="s">
        <v>237</v>
      </c>
      <c r="BM412" s="140" t="s">
        <v>3408</v>
      </c>
    </row>
    <row r="413" spans="2:47" s="1" customFormat="1" ht="19.5">
      <c r="B413" s="33"/>
      <c r="D413" s="142" t="s">
        <v>187</v>
      </c>
      <c r="F413" s="143" t="s">
        <v>3035</v>
      </c>
      <c r="I413" s="144"/>
      <c r="L413" s="33"/>
      <c r="M413" s="145"/>
      <c r="T413" s="54"/>
      <c r="AT413" s="18" t="s">
        <v>187</v>
      </c>
      <c r="AU413" s="18" t="s">
        <v>87</v>
      </c>
    </row>
    <row r="414" spans="2:51" s="12" customFormat="1" ht="11.25">
      <c r="B414" s="149"/>
      <c r="D414" s="142" t="s">
        <v>193</v>
      </c>
      <c r="E414" s="150" t="s">
        <v>3</v>
      </c>
      <c r="F414" s="151" t="s">
        <v>3409</v>
      </c>
      <c r="H414" s="152">
        <v>522.303</v>
      </c>
      <c r="I414" s="153"/>
      <c r="L414" s="149"/>
      <c r="M414" s="154"/>
      <c r="T414" s="155"/>
      <c r="AT414" s="150" t="s">
        <v>193</v>
      </c>
      <c r="AU414" s="150" t="s">
        <v>87</v>
      </c>
      <c r="AV414" s="12" t="s">
        <v>87</v>
      </c>
      <c r="AW414" s="12" t="s">
        <v>36</v>
      </c>
      <c r="AX414" s="12" t="s">
        <v>85</v>
      </c>
      <c r="AY414" s="150" t="s">
        <v>177</v>
      </c>
    </row>
    <row r="415" spans="2:51" s="12" customFormat="1" ht="11.25">
      <c r="B415" s="149"/>
      <c r="D415" s="142" t="s">
        <v>193</v>
      </c>
      <c r="F415" s="151" t="s">
        <v>3410</v>
      </c>
      <c r="H415" s="152">
        <v>574.533</v>
      </c>
      <c r="I415" s="153"/>
      <c r="L415" s="149"/>
      <c r="M415" s="154"/>
      <c r="T415" s="155"/>
      <c r="AT415" s="150" t="s">
        <v>193</v>
      </c>
      <c r="AU415" s="150" t="s">
        <v>87</v>
      </c>
      <c r="AV415" s="12" t="s">
        <v>87</v>
      </c>
      <c r="AW415" s="12" t="s">
        <v>4</v>
      </c>
      <c r="AX415" s="12" t="s">
        <v>85</v>
      </c>
      <c r="AY415" s="150" t="s">
        <v>177</v>
      </c>
    </row>
    <row r="416" spans="2:65" s="1" customFormat="1" ht="33" customHeight="1">
      <c r="B416" s="128"/>
      <c r="C416" s="129" t="s">
        <v>1259</v>
      </c>
      <c r="D416" s="129" t="s">
        <v>180</v>
      </c>
      <c r="E416" s="130" t="s">
        <v>3411</v>
      </c>
      <c r="F416" s="131" t="s">
        <v>3412</v>
      </c>
      <c r="G416" s="132" t="s">
        <v>332</v>
      </c>
      <c r="H416" s="133">
        <v>149.7</v>
      </c>
      <c r="I416" s="134"/>
      <c r="J416" s="135">
        <f>ROUND(I416*H416,2)</f>
        <v>0</v>
      </c>
      <c r="K416" s="131" t="s">
        <v>184</v>
      </c>
      <c r="L416" s="33"/>
      <c r="M416" s="136" t="s">
        <v>3</v>
      </c>
      <c r="N416" s="137" t="s">
        <v>48</v>
      </c>
      <c r="P416" s="138">
        <f>O416*H416</f>
        <v>0</v>
      </c>
      <c r="Q416" s="138">
        <v>0.00822</v>
      </c>
      <c r="R416" s="138">
        <f>Q416*H416</f>
        <v>1.2305339999999998</v>
      </c>
      <c r="S416" s="138">
        <v>0</v>
      </c>
      <c r="T416" s="139">
        <f>S416*H416</f>
        <v>0</v>
      </c>
      <c r="AR416" s="140" t="s">
        <v>237</v>
      </c>
      <c r="AT416" s="140" t="s">
        <v>180</v>
      </c>
      <c r="AU416" s="140" t="s">
        <v>87</v>
      </c>
      <c r="AY416" s="18" t="s">
        <v>177</v>
      </c>
      <c r="BE416" s="141">
        <f>IF(N416="základní",J416,0)</f>
        <v>0</v>
      </c>
      <c r="BF416" s="141">
        <f>IF(N416="snížená",J416,0)</f>
        <v>0</v>
      </c>
      <c r="BG416" s="141">
        <f>IF(N416="zákl. přenesená",J416,0)</f>
        <v>0</v>
      </c>
      <c r="BH416" s="141">
        <f>IF(N416="sníž. přenesená",J416,0)</f>
        <v>0</v>
      </c>
      <c r="BI416" s="141">
        <f>IF(N416="nulová",J416,0)</f>
        <v>0</v>
      </c>
      <c r="BJ416" s="18" t="s">
        <v>85</v>
      </c>
      <c r="BK416" s="141">
        <f>ROUND(I416*H416,2)</f>
        <v>0</v>
      </c>
      <c r="BL416" s="18" t="s">
        <v>237</v>
      </c>
      <c r="BM416" s="140" t="s">
        <v>3413</v>
      </c>
    </row>
    <row r="417" spans="2:47" s="1" customFormat="1" ht="29.25">
      <c r="B417" s="33"/>
      <c r="D417" s="142" t="s">
        <v>187</v>
      </c>
      <c r="F417" s="143" t="s">
        <v>3414</v>
      </c>
      <c r="I417" s="144"/>
      <c r="L417" s="33"/>
      <c r="M417" s="145"/>
      <c r="T417" s="54"/>
      <c r="AT417" s="18" t="s">
        <v>187</v>
      </c>
      <c r="AU417" s="18" t="s">
        <v>87</v>
      </c>
    </row>
    <row r="418" spans="2:47" s="1" customFormat="1" ht="11.25">
      <c r="B418" s="33"/>
      <c r="D418" s="146" t="s">
        <v>189</v>
      </c>
      <c r="F418" s="147" t="s">
        <v>3415</v>
      </c>
      <c r="I418" s="144"/>
      <c r="L418" s="33"/>
      <c r="M418" s="145"/>
      <c r="T418" s="54"/>
      <c r="AT418" s="18" t="s">
        <v>189</v>
      </c>
      <c r="AU418" s="18" t="s">
        <v>87</v>
      </c>
    </row>
    <row r="419" spans="2:47" s="1" customFormat="1" ht="29.25">
      <c r="B419" s="33"/>
      <c r="D419" s="142" t="s">
        <v>191</v>
      </c>
      <c r="F419" s="148" t="s">
        <v>3045</v>
      </c>
      <c r="I419" s="144"/>
      <c r="L419" s="33"/>
      <c r="M419" s="145"/>
      <c r="T419" s="54"/>
      <c r="AT419" s="18" t="s">
        <v>191</v>
      </c>
      <c r="AU419" s="18" t="s">
        <v>87</v>
      </c>
    </row>
    <row r="420" spans="2:51" s="12" customFormat="1" ht="11.25">
      <c r="B420" s="149"/>
      <c r="D420" s="142" t="s">
        <v>193</v>
      </c>
      <c r="E420" s="150" t="s">
        <v>3</v>
      </c>
      <c r="F420" s="151" t="s">
        <v>3416</v>
      </c>
      <c r="H420" s="152">
        <v>77</v>
      </c>
      <c r="I420" s="153"/>
      <c r="L420" s="149"/>
      <c r="M420" s="154"/>
      <c r="T420" s="155"/>
      <c r="AT420" s="150" t="s">
        <v>193</v>
      </c>
      <c r="AU420" s="150" t="s">
        <v>87</v>
      </c>
      <c r="AV420" s="12" t="s">
        <v>87</v>
      </c>
      <c r="AW420" s="12" t="s">
        <v>36</v>
      </c>
      <c r="AX420" s="12" t="s">
        <v>77</v>
      </c>
      <c r="AY420" s="150" t="s">
        <v>177</v>
      </c>
    </row>
    <row r="421" spans="2:51" s="12" customFormat="1" ht="11.25">
      <c r="B421" s="149"/>
      <c r="D421" s="142" t="s">
        <v>193</v>
      </c>
      <c r="E421" s="150" t="s">
        <v>3</v>
      </c>
      <c r="F421" s="151" t="s">
        <v>3417</v>
      </c>
      <c r="H421" s="152">
        <v>72.7</v>
      </c>
      <c r="I421" s="153"/>
      <c r="L421" s="149"/>
      <c r="M421" s="154"/>
      <c r="T421" s="155"/>
      <c r="AT421" s="150" t="s">
        <v>193</v>
      </c>
      <c r="AU421" s="150" t="s">
        <v>87</v>
      </c>
      <c r="AV421" s="12" t="s">
        <v>87</v>
      </c>
      <c r="AW421" s="12" t="s">
        <v>36</v>
      </c>
      <c r="AX421" s="12" t="s">
        <v>77</v>
      </c>
      <c r="AY421" s="150" t="s">
        <v>177</v>
      </c>
    </row>
    <row r="422" spans="2:51" s="15" customFormat="1" ht="11.25">
      <c r="B422" s="169"/>
      <c r="D422" s="142" t="s">
        <v>193</v>
      </c>
      <c r="E422" s="170" t="s">
        <v>3</v>
      </c>
      <c r="F422" s="171" t="s">
        <v>201</v>
      </c>
      <c r="H422" s="172">
        <v>149.7</v>
      </c>
      <c r="I422" s="173"/>
      <c r="L422" s="169"/>
      <c r="M422" s="174"/>
      <c r="T422" s="175"/>
      <c r="AT422" s="170" t="s">
        <v>193</v>
      </c>
      <c r="AU422" s="170" t="s">
        <v>87</v>
      </c>
      <c r="AV422" s="15" t="s">
        <v>185</v>
      </c>
      <c r="AW422" s="15" t="s">
        <v>36</v>
      </c>
      <c r="AX422" s="15" t="s">
        <v>85</v>
      </c>
      <c r="AY422" s="170" t="s">
        <v>177</v>
      </c>
    </row>
    <row r="423" spans="2:65" s="1" customFormat="1" ht="24.2" customHeight="1">
      <c r="B423" s="128"/>
      <c r="C423" s="179" t="s">
        <v>1266</v>
      </c>
      <c r="D423" s="179" t="s">
        <v>484</v>
      </c>
      <c r="E423" s="180" t="s">
        <v>3418</v>
      </c>
      <c r="F423" s="181" t="s">
        <v>3419</v>
      </c>
      <c r="G423" s="182" t="s">
        <v>332</v>
      </c>
      <c r="H423" s="183">
        <v>197.306</v>
      </c>
      <c r="I423" s="184"/>
      <c r="J423" s="185">
        <f>ROUND(I423*H423,2)</f>
        <v>0</v>
      </c>
      <c r="K423" s="181" t="s">
        <v>244</v>
      </c>
      <c r="L423" s="186"/>
      <c r="M423" s="187" t="s">
        <v>3</v>
      </c>
      <c r="N423" s="188" t="s">
        <v>48</v>
      </c>
      <c r="P423" s="138">
        <f>O423*H423</f>
        <v>0</v>
      </c>
      <c r="Q423" s="138">
        <v>0.0177</v>
      </c>
      <c r="R423" s="138">
        <f>Q423*H423</f>
        <v>3.4923162000000003</v>
      </c>
      <c r="S423" s="138">
        <v>0</v>
      </c>
      <c r="T423" s="139">
        <f>S423*H423</f>
        <v>0</v>
      </c>
      <c r="AR423" s="140" t="s">
        <v>537</v>
      </c>
      <c r="AT423" s="140" t="s">
        <v>484</v>
      </c>
      <c r="AU423" s="140" t="s">
        <v>87</v>
      </c>
      <c r="AY423" s="18" t="s">
        <v>177</v>
      </c>
      <c r="BE423" s="141">
        <f>IF(N423="základní",J423,0)</f>
        <v>0</v>
      </c>
      <c r="BF423" s="141">
        <f>IF(N423="snížená",J423,0)</f>
        <v>0</v>
      </c>
      <c r="BG423" s="141">
        <f>IF(N423="zákl. přenesená",J423,0)</f>
        <v>0</v>
      </c>
      <c r="BH423" s="141">
        <f>IF(N423="sníž. přenesená",J423,0)</f>
        <v>0</v>
      </c>
      <c r="BI423" s="141">
        <f>IF(N423="nulová",J423,0)</f>
        <v>0</v>
      </c>
      <c r="BJ423" s="18" t="s">
        <v>85</v>
      </c>
      <c r="BK423" s="141">
        <f>ROUND(I423*H423,2)</f>
        <v>0</v>
      </c>
      <c r="BL423" s="18" t="s">
        <v>237</v>
      </c>
      <c r="BM423" s="140" t="s">
        <v>3420</v>
      </c>
    </row>
    <row r="424" spans="2:47" s="1" customFormat="1" ht="19.5">
      <c r="B424" s="33"/>
      <c r="D424" s="142" t="s">
        <v>187</v>
      </c>
      <c r="F424" s="143" t="s">
        <v>3419</v>
      </c>
      <c r="I424" s="144"/>
      <c r="L424" s="33"/>
      <c r="M424" s="145"/>
      <c r="T424" s="54"/>
      <c r="AT424" s="18" t="s">
        <v>187</v>
      </c>
      <c r="AU424" s="18" t="s">
        <v>87</v>
      </c>
    </row>
    <row r="425" spans="2:51" s="12" customFormat="1" ht="11.25">
      <c r="B425" s="149"/>
      <c r="D425" s="142" t="s">
        <v>193</v>
      </c>
      <c r="E425" s="150" t="s">
        <v>3</v>
      </c>
      <c r="F425" s="151" t="s">
        <v>3421</v>
      </c>
      <c r="H425" s="152">
        <v>149.7</v>
      </c>
      <c r="I425" s="153"/>
      <c r="L425" s="149"/>
      <c r="M425" s="154"/>
      <c r="T425" s="155"/>
      <c r="AT425" s="150" t="s">
        <v>193</v>
      </c>
      <c r="AU425" s="150" t="s">
        <v>87</v>
      </c>
      <c r="AV425" s="12" t="s">
        <v>87</v>
      </c>
      <c r="AW425" s="12" t="s">
        <v>36</v>
      </c>
      <c r="AX425" s="12" t="s">
        <v>77</v>
      </c>
      <c r="AY425" s="150" t="s">
        <v>177</v>
      </c>
    </row>
    <row r="426" spans="2:51" s="12" customFormat="1" ht="11.25">
      <c r="B426" s="149"/>
      <c r="D426" s="142" t="s">
        <v>193</v>
      </c>
      <c r="E426" s="150" t="s">
        <v>3</v>
      </c>
      <c r="F426" s="151" t="s">
        <v>3422</v>
      </c>
      <c r="H426" s="152">
        <v>21.87</v>
      </c>
      <c r="I426" s="153"/>
      <c r="L426" s="149"/>
      <c r="M426" s="154"/>
      <c r="T426" s="155"/>
      <c r="AT426" s="150" t="s">
        <v>193</v>
      </c>
      <c r="AU426" s="150" t="s">
        <v>87</v>
      </c>
      <c r="AV426" s="12" t="s">
        <v>87</v>
      </c>
      <c r="AW426" s="12" t="s">
        <v>36</v>
      </c>
      <c r="AX426" s="12" t="s">
        <v>77</v>
      </c>
      <c r="AY426" s="150" t="s">
        <v>177</v>
      </c>
    </row>
    <row r="427" spans="2:51" s="15" customFormat="1" ht="11.25">
      <c r="B427" s="169"/>
      <c r="D427" s="142" t="s">
        <v>193</v>
      </c>
      <c r="E427" s="170" t="s">
        <v>3</v>
      </c>
      <c r="F427" s="171" t="s">
        <v>201</v>
      </c>
      <c r="H427" s="172">
        <v>171.57</v>
      </c>
      <c r="I427" s="173"/>
      <c r="L427" s="169"/>
      <c r="M427" s="174"/>
      <c r="T427" s="175"/>
      <c r="AT427" s="170" t="s">
        <v>193</v>
      </c>
      <c r="AU427" s="170" t="s">
        <v>87</v>
      </c>
      <c r="AV427" s="15" t="s">
        <v>185</v>
      </c>
      <c r="AW427" s="15" t="s">
        <v>36</v>
      </c>
      <c r="AX427" s="15" t="s">
        <v>85</v>
      </c>
      <c r="AY427" s="170" t="s">
        <v>177</v>
      </c>
    </row>
    <row r="428" spans="2:51" s="12" customFormat="1" ht="11.25">
      <c r="B428" s="149"/>
      <c r="D428" s="142" t="s">
        <v>193</v>
      </c>
      <c r="F428" s="151" t="s">
        <v>3423</v>
      </c>
      <c r="H428" s="152">
        <v>197.306</v>
      </c>
      <c r="I428" s="153"/>
      <c r="L428" s="149"/>
      <c r="M428" s="154"/>
      <c r="T428" s="155"/>
      <c r="AT428" s="150" t="s">
        <v>193</v>
      </c>
      <c r="AU428" s="150" t="s">
        <v>87</v>
      </c>
      <c r="AV428" s="12" t="s">
        <v>87</v>
      </c>
      <c r="AW428" s="12" t="s">
        <v>4</v>
      </c>
      <c r="AX428" s="12" t="s">
        <v>85</v>
      </c>
      <c r="AY428" s="150" t="s">
        <v>177</v>
      </c>
    </row>
    <row r="429" spans="2:65" s="1" customFormat="1" ht="24.2" customHeight="1">
      <c r="B429" s="128"/>
      <c r="C429" s="129" t="s">
        <v>1274</v>
      </c>
      <c r="D429" s="129" t="s">
        <v>180</v>
      </c>
      <c r="E429" s="130" t="s">
        <v>3424</v>
      </c>
      <c r="F429" s="131" t="s">
        <v>3425</v>
      </c>
      <c r="G429" s="132" t="s">
        <v>332</v>
      </c>
      <c r="H429" s="133">
        <v>149.7</v>
      </c>
      <c r="I429" s="134"/>
      <c r="J429" s="135">
        <f>ROUND(I429*H429,2)</f>
        <v>0</v>
      </c>
      <c r="K429" s="131" t="s">
        <v>184</v>
      </c>
      <c r="L429" s="33"/>
      <c r="M429" s="136" t="s">
        <v>3</v>
      </c>
      <c r="N429" s="137" t="s">
        <v>48</v>
      </c>
      <c r="P429" s="138">
        <f>O429*H429</f>
        <v>0</v>
      </c>
      <c r="Q429" s="138">
        <v>0.0015</v>
      </c>
      <c r="R429" s="138">
        <f>Q429*H429</f>
        <v>0.22455</v>
      </c>
      <c r="S429" s="138">
        <v>0</v>
      </c>
      <c r="T429" s="139">
        <f>S429*H429</f>
        <v>0</v>
      </c>
      <c r="AR429" s="140" t="s">
        <v>237</v>
      </c>
      <c r="AT429" s="140" t="s">
        <v>180</v>
      </c>
      <c r="AU429" s="140" t="s">
        <v>87</v>
      </c>
      <c r="AY429" s="18" t="s">
        <v>177</v>
      </c>
      <c r="BE429" s="141">
        <f>IF(N429="základní",J429,0)</f>
        <v>0</v>
      </c>
      <c r="BF429" s="141">
        <f>IF(N429="snížená",J429,0)</f>
        <v>0</v>
      </c>
      <c r="BG429" s="141">
        <f>IF(N429="zákl. přenesená",J429,0)</f>
        <v>0</v>
      </c>
      <c r="BH429" s="141">
        <f>IF(N429="sníž. přenesená",J429,0)</f>
        <v>0</v>
      </c>
      <c r="BI429" s="141">
        <f>IF(N429="nulová",J429,0)</f>
        <v>0</v>
      </c>
      <c r="BJ429" s="18" t="s">
        <v>85</v>
      </c>
      <c r="BK429" s="141">
        <f>ROUND(I429*H429,2)</f>
        <v>0</v>
      </c>
      <c r="BL429" s="18" t="s">
        <v>237</v>
      </c>
      <c r="BM429" s="140" t="s">
        <v>3426</v>
      </c>
    </row>
    <row r="430" spans="2:47" s="1" customFormat="1" ht="11.25">
      <c r="B430" s="33"/>
      <c r="D430" s="142" t="s">
        <v>187</v>
      </c>
      <c r="F430" s="143" t="s">
        <v>3427</v>
      </c>
      <c r="I430" s="144"/>
      <c r="L430" s="33"/>
      <c r="M430" s="145"/>
      <c r="T430" s="54"/>
      <c r="AT430" s="18" t="s">
        <v>187</v>
      </c>
      <c r="AU430" s="18" t="s">
        <v>87</v>
      </c>
    </row>
    <row r="431" spans="2:47" s="1" customFormat="1" ht="11.25">
      <c r="B431" s="33"/>
      <c r="D431" s="146" t="s">
        <v>189</v>
      </c>
      <c r="F431" s="147" t="s">
        <v>3428</v>
      </c>
      <c r="I431" s="144"/>
      <c r="L431" s="33"/>
      <c r="M431" s="145"/>
      <c r="T431" s="54"/>
      <c r="AT431" s="18" t="s">
        <v>189</v>
      </c>
      <c r="AU431" s="18" t="s">
        <v>87</v>
      </c>
    </row>
    <row r="432" spans="2:47" s="1" customFormat="1" ht="97.5">
      <c r="B432" s="33"/>
      <c r="D432" s="142" t="s">
        <v>191</v>
      </c>
      <c r="F432" s="148" t="s">
        <v>3064</v>
      </c>
      <c r="I432" s="144"/>
      <c r="L432" s="33"/>
      <c r="M432" s="145"/>
      <c r="T432" s="54"/>
      <c r="AT432" s="18" t="s">
        <v>191</v>
      </c>
      <c r="AU432" s="18" t="s">
        <v>87</v>
      </c>
    </row>
    <row r="433" spans="2:65" s="1" customFormat="1" ht="16.5" customHeight="1">
      <c r="B433" s="128"/>
      <c r="C433" s="129" t="s">
        <v>1282</v>
      </c>
      <c r="D433" s="129" t="s">
        <v>180</v>
      </c>
      <c r="E433" s="130" t="s">
        <v>3429</v>
      </c>
      <c r="F433" s="131" t="s">
        <v>3430</v>
      </c>
      <c r="G433" s="132" t="s">
        <v>476</v>
      </c>
      <c r="H433" s="133">
        <v>172.36</v>
      </c>
      <c r="I433" s="134"/>
      <c r="J433" s="135">
        <f>ROUND(I433*H433,2)</f>
        <v>0</v>
      </c>
      <c r="K433" s="131" t="s">
        <v>184</v>
      </c>
      <c r="L433" s="33"/>
      <c r="M433" s="136" t="s">
        <v>3</v>
      </c>
      <c r="N433" s="137" t="s">
        <v>48</v>
      </c>
      <c r="P433" s="138">
        <f>O433*H433</f>
        <v>0</v>
      </c>
      <c r="Q433" s="138">
        <v>3E-05</v>
      </c>
      <c r="R433" s="138">
        <f>Q433*H433</f>
        <v>0.005170800000000001</v>
      </c>
      <c r="S433" s="138">
        <v>0</v>
      </c>
      <c r="T433" s="139">
        <f>S433*H433</f>
        <v>0</v>
      </c>
      <c r="AR433" s="140" t="s">
        <v>237</v>
      </c>
      <c r="AT433" s="140" t="s">
        <v>180</v>
      </c>
      <c r="AU433" s="140" t="s">
        <v>87</v>
      </c>
      <c r="AY433" s="18" t="s">
        <v>177</v>
      </c>
      <c r="BE433" s="141">
        <f>IF(N433="základní",J433,0)</f>
        <v>0</v>
      </c>
      <c r="BF433" s="141">
        <f>IF(N433="snížená",J433,0)</f>
        <v>0</v>
      </c>
      <c r="BG433" s="141">
        <f>IF(N433="zákl. přenesená",J433,0)</f>
        <v>0</v>
      </c>
      <c r="BH433" s="141">
        <f>IF(N433="sníž. přenesená",J433,0)</f>
        <v>0</v>
      </c>
      <c r="BI433" s="141">
        <f>IF(N433="nulová",J433,0)</f>
        <v>0</v>
      </c>
      <c r="BJ433" s="18" t="s">
        <v>85</v>
      </c>
      <c r="BK433" s="141">
        <f>ROUND(I433*H433,2)</f>
        <v>0</v>
      </c>
      <c r="BL433" s="18" t="s">
        <v>237</v>
      </c>
      <c r="BM433" s="140" t="s">
        <v>3431</v>
      </c>
    </row>
    <row r="434" spans="2:47" s="1" customFormat="1" ht="11.25">
      <c r="B434" s="33"/>
      <c r="D434" s="142" t="s">
        <v>187</v>
      </c>
      <c r="F434" s="143" t="s">
        <v>3432</v>
      </c>
      <c r="I434" s="144"/>
      <c r="L434" s="33"/>
      <c r="M434" s="145"/>
      <c r="T434" s="54"/>
      <c r="AT434" s="18" t="s">
        <v>187</v>
      </c>
      <c r="AU434" s="18" t="s">
        <v>87</v>
      </c>
    </row>
    <row r="435" spans="2:47" s="1" customFormat="1" ht="11.25">
      <c r="B435" s="33"/>
      <c r="D435" s="146" t="s">
        <v>189</v>
      </c>
      <c r="F435" s="147" t="s">
        <v>3433</v>
      </c>
      <c r="I435" s="144"/>
      <c r="L435" s="33"/>
      <c r="M435" s="145"/>
      <c r="T435" s="54"/>
      <c r="AT435" s="18" t="s">
        <v>189</v>
      </c>
      <c r="AU435" s="18" t="s">
        <v>87</v>
      </c>
    </row>
    <row r="436" spans="2:47" s="1" customFormat="1" ht="68.25">
      <c r="B436" s="33"/>
      <c r="D436" s="142" t="s">
        <v>191</v>
      </c>
      <c r="F436" s="148" t="s">
        <v>3434</v>
      </c>
      <c r="I436" s="144"/>
      <c r="L436" s="33"/>
      <c r="M436" s="145"/>
      <c r="T436" s="54"/>
      <c r="AT436" s="18" t="s">
        <v>191</v>
      </c>
      <c r="AU436" s="18" t="s">
        <v>87</v>
      </c>
    </row>
    <row r="437" spans="2:65" s="1" customFormat="1" ht="24.2" customHeight="1">
      <c r="B437" s="128"/>
      <c r="C437" s="129" t="s">
        <v>1290</v>
      </c>
      <c r="D437" s="129" t="s">
        <v>180</v>
      </c>
      <c r="E437" s="130" t="s">
        <v>3435</v>
      </c>
      <c r="F437" s="131" t="s">
        <v>3436</v>
      </c>
      <c r="G437" s="132" t="s">
        <v>332</v>
      </c>
      <c r="H437" s="133">
        <v>149.7</v>
      </c>
      <c r="I437" s="134"/>
      <c r="J437" s="135">
        <f>ROUND(I437*H437,2)</f>
        <v>0</v>
      </c>
      <c r="K437" s="131" t="s">
        <v>184</v>
      </c>
      <c r="L437" s="33"/>
      <c r="M437" s="136" t="s">
        <v>3</v>
      </c>
      <c r="N437" s="137" t="s">
        <v>48</v>
      </c>
      <c r="P437" s="138">
        <f>O437*H437</f>
        <v>0</v>
      </c>
      <c r="Q437" s="138">
        <v>4.5E-05</v>
      </c>
      <c r="R437" s="138">
        <f>Q437*H437</f>
        <v>0.0067365</v>
      </c>
      <c r="S437" s="138">
        <v>0</v>
      </c>
      <c r="T437" s="139">
        <f>S437*H437</f>
        <v>0</v>
      </c>
      <c r="AR437" s="140" t="s">
        <v>237</v>
      </c>
      <c r="AT437" s="140" t="s">
        <v>180</v>
      </c>
      <c r="AU437" s="140" t="s">
        <v>87</v>
      </c>
      <c r="AY437" s="18" t="s">
        <v>177</v>
      </c>
      <c r="BE437" s="141">
        <f>IF(N437="základní",J437,0)</f>
        <v>0</v>
      </c>
      <c r="BF437" s="141">
        <f>IF(N437="snížená",J437,0)</f>
        <v>0</v>
      </c>
      <c r="BG437" s="141">
        <f>IF(N437="zákl. přenesená",J437,0)</f>
        <v>0</v>
      </c>
      <c r="BH437" s="141">
        <f>IF(N437="sníž. přenesená",J437,0)</f>
        <v>0</v>
      </c>
      <c r="BI437" s="141">
        <f>IF(N437="nulová",J437,0)</f>
        <v>0</v>
      </c>
      <c r="BJ437" s="18" t="s">
        <v>85</v>
      </c>
      <c r="BK437" s="141">
        <f>ROUND(I437*H437,2)</f>
        <v>0</v>
      </c>
      <c r="BL437" s="18" t="s">
        <v>237</v>
      </c>
      <c r="BM437" s="140" t="s">
        <v>3437</v>
      </c>
    </row>
    <row r="438" spans="2:47" s="1" customFormat="1" ht="19.5">
      <c r="B438" s="33"/>
      <c r="D438" s="142" t="s">
        <v>187</v>
      </c>
      <c r="F438" s="143" t="s">
        <v>3438</v>
      </c>
      <c r="I438" s="144"/>
      <c r="L438" s="33"/>
      <c r="M438" s="145"/>
      <c r="T438" s="54"/>
      <c r="AT438" s="18" t="s">
        <v>187</v>
      </c>
      <c r="AU438" s="18" t="s">
        <v>87</v>
      </c>
    </row>
    <row r="439" spans="2:47" s="1" customFormat="1" ht="11.25">
      <c r="B439" s="33"/>
      <c r="D439" s="146" t="s">
        <v>189</v>
      </c>
      <c r="F439" s="147" t="s">
        <v>3439</v>
      </c>
      <c r="I439" s="144"/>
      <c r="L439" s="33"/>
      <c r="M439" s="145"/>
      <c r="T439" s="54"/>
      <c r="AT439" s="18" t="s">
        <v>189</v>
      </c>
      <c r="AU439" s="18" t="s">
        <v>87</v>
      </c>
    </row>
    <row r="440" spans="2:65" s="1" customFormat="1" ht="24.2" customHeight="1">
      <c r="B440" s="128"/>
      <c r="C440" s="129" t="s">
        <v>1296</v>
      </c>
      <c r="D440" s="129" t="s">
        <v>180</v>
      </c>
      <c r="E440" s="130" t="s">
        <v>3078</v>
      </c>
      <c r="F440" s="131" t="s">
        <v>3079</v>
      </c>
      <c r="G440" s="132" t="s">
        <v>183</v>
      </c>
      <c r="H440" s="133">
        <v>6.132</v>
      </c>
      <c r="I440" s="134"/>
      <c r="J440" s="135">
        <f>ROUND(I440*H440,2)</f>
        <v>0</v>
      </c>
      <c r="K440" s="131" t="s">
        <v>184</v>
      </c>
      <c r="L440" s="33"/>
      <c r="M440" s="136" t="s">
        <v>3</v>
      </c>
      <c r="N440" s="137" t="s">
        <v>48</v>
      </c>
      <c r="P440" s="138">
        <f>O440*H440</f>
        <v>0</v>
      </c>
      <c r="Q440" s="138">
        <v>0</v>
      </c>
      <c r="R440" s="138">
        <f>Q440*H440</f>
        <v>0</v>
      </c>
      <c r="S440" s="138">
        <v>0</v>
      </c>
      <c r="T440" s="139">
        <f>S440*H440</f>
        <v>0</v>
      </c>
      <c r="AR440" s="140" t="s">
        <v>237</v>
      </c>
      <c r="AT440" s="140" t="s">
        <v>180</v>
      </c>
      <c r="AU440" s="140" t="s">
        <v>87</v>
      </c>
      <c r="AY440" s="18" t="s">
        <v>177</v>
      </c>
      <c r="BE440" s="141">
        <f>IF(N440="základní",J440,0)</f>
        <v>0</v>
      </c>
      <c r="BF440" s="141">
        <f>IF(N440="snížená",J440,0)</f>
        <v>0</v>
      </c>
      <c r="BG440" s="141">
        <f>IF(N440="zákl. přenesená",J440,0)</f>
        <v>0</v>
      </c>
      <c r="BH440" s="141">
        <f>IF(N440="sníž. přenesená",J440,0)</f>
        <v>0</v>
      </c>
      <c r="BI440" s="141">
        <f>IF(N440="nulová",J440,0)</f>
        <v>0</v>
      </c>
      <c r="BJ440" s="18" t="s">
        <v>85</v>
      </c>
      <c r="BK440" s="141">
        <f>ROUND(I440*H440,2)</f>
        <v>0</v>
      </c>
      <c r="BL440" s="18" t="s">
        <v>237</v>
      </c>
      <c r="BM440" s="140" t="s">
        <v>3440</v>
      </c>
    </row>
    <row r="441" spans="2:47" s="1" customFormat="1" ht="29.25">
      <c r="B441" s="33"/>
      <c r="D441" s="142" t="s">
        <v>187</v>
      </c>
      <c r="F441" s="143" t="s">
        <v>3081</v>
      </c>
      <c r="I441" s="144"/>
      <c r="L441" s="33"/>
      <c r="M441" s="145"/>
      <c r="T441" s="54"/>
      <c r="AT441" s="18" t="s">
        <v>187</v>
      </c>
      <c r="AU441" s="18" t="s">
        <v>87</v>
      </c>
    </row>
    <row r="442" spans="2:47" s="1" customFormat="1" ht="11.25">
      <c r="B442" s="33"/>
      <c r="D442" s="146" t="s">
        <v>189</v>
      </c>
      <c r="F442" s="147" t="s">
        <v>3082</v>
      </c>
      <c r="I442" s="144"/>
      <c r="L442" s="33"/>
      <c r="M442" s="145"/>
      <c r="T442" s="54"/>
      <c r="AT442" s="18" t="s">
        <v>189</v>
      </c>
      <c r="AU442" s="18" t="s">
        <v>87</v>
      </c>
    </row>
    <row r="443" spans="2:47" s="1" customFormat="1" ht="126.75">
      <c r="B443" s="33"/>
      <c r="D443" s="142" t="s">
        <v>191</v>
      </c>
      <c r="F443" s="148" t="s">
        <v>762</v>
      </c>
      <c r="I443" s="144"/>
      <c r="L443" s="33"/>
      <c r="M443" s="145"/>
      <c r="T443" s="54"/>
      <c r="AT443" s="18" t="s">
        <v>191</v>
      </c>
      <c r="AU443" s="18" t="s">
        <v>87</v>
      </c>
    </row>
    <row r="444" spans="2:65" s="1" customFormat="1" ht="24.2" customHeight="1">
      <c r="B444" s="128"/>
      <c r="C444" s="129" t="s">
        <v>1304</v>
      </c>
      <c r="D444" s="129" t="s">
        <v>180</v>
      </c>
      <c r="E444" s="130" t="s">
        <v>3084</v>
      </c>
      <c r="F444" s="131" t="s">
        <v>3085</v>
      </c>
      <c r="G444" s="132" t="s">
        <v>183</v>
      </c>
      <c r="H444" s="133">
        <v>6.132</v>
      </c>
      <c r="I444" s="134"/>
      <c r="J444" s="135">
        <f>ROUND(I444*H444,2)</f>
        <v>0</v>
      </c>
      <c r="K444" s="131" t="s">
        <v>184</v>
      </c>
      <c r="L444" s="33"/>
      <c r="M444" s="136" t="s">
        <v>3</v>
      </c>
      <c r="N444" s="137" t="s">
        <v>48</v>
      </c>
      <c r="P444" s="138">
        <f>O444*H444</f>
        <v>0</v>
      </c>
      <c r="Q444" s="138">
        <v>0</v>
      </c>
      <c r="R444" s="138">
        <f>Q444*H444</f>
        <v>0</v>
      </c>
      <c r="S444" s="138">
        <v>0</v>
      </c>
      <c r="T444" s="139">
        <f>S444*H444</f>
        <v>0</v>
      </c>
      <c r="AR444" s="140" t="s">
        <v>237</v>
      </c>
      <c r="AT444" s="140" t="s">
        <v>180</v>
      </c>
      <c r="AU444" s="140" t="s">
        <v>87</v>
      </c>
      <c r="AY444" s="18" t="s">
        <v>177</v>
      </c>
      <c r="BE444" s="141">
        <f>IF(N444="základní",J444,0)</f>
        <v>0</v>
      </c>
      <c r="BF444" s="141">
        <f>IF(N444="snížená",J444,0)</f>
        <v>0</v>
      </c>
      <c r="BG444" s="141">
        <f>IF(N444="zákl. přenesená",J444,0)</f>
        <v>0</v>
      </c>
      <c r="BH444" s="141">
        <f>IF(N444="sníž. přenesená",J444,0)</f>
        <v>0</v>
      </c>
      <c r="BI444" s="141">
        <f>IF(N444="nulová",J444,0)</f>
        <v>0</v>
      </c>
      <c r="BJ444" s="18" t="s">
        <v>85</v>
      </c>
      <c r="BK444" s="141">
        <f>ROUND(I444*H444,2)</f>
        <v>0</v>
      </c>
      <c r="BL444" s="18" t="s">
        <v>237</v>
      </c>
      <c r="BM444" s="140" t="s">
        <v>3441</v>
      </c>
    </row>
    <row r="445" spans="2:47" s="1" customFormat="1" ht="29.25">
      <c r="B445" s="33"/>
      <c r="D445" s="142" t="s">
        <v>187</v>
      </c>
      <c r="F445" s="143" t="s">
        <v>3087</v>
      </c>
      <c r="I445" s="144"/>
      <c r="L445" s="33"/>
      <c r="M445" s="145"/>
      <c r="T445" s="54"/>
      <c r="AT445" s="18" t="s">
        <v>187</v>
      </c>
      <c r="AU445" s="18" t="s">
        <v>87</v>
      </c>
    </row>
    <row r="446" spans="2:47" s="1" customFormat="1" ht="11.25">
      <c r="B446" s="33"/>
      <c r="D446" s="146" t="s">
        <v>189</v>
      </c>
      <c r="F446" s="147" t="s">
        <v>3088</v>
      </c>
      <c r="I446" s="144"/>
      <c r="L446" s="33"/>
      <c r="M446" s="145"/>
      <c r="T446" s="54"/>
      <c r="AT446" s="18" t="s">
        <v>189</v>
      </c>
      <c r="AU446" s="18" t="s">
        <v>87</v>
      </c>
    </row>
    <row r="447" spans="2:47" s="1" customFormat="1" ht="126.75">
      <c r="B447" s="33"/>
      <c r="D447" s="142" t="s">
        <v>191</v>
      </c>
      <c r="F447" s="148" t="s">
        <v>762</v>
      </c>
      <c r="I447" s="144"/>
      <c r="L447" s="33"/>
      <c r="M447" s="145"/>
      <c r="T447" s="54"/>
      <c r="AT447" s="18" t="s">
        <v>191</v>
      </c>
      <c r="AU447" s="18" t="s">
        <v>87</v>
      </c>
    </row>
    <row r="448" spans="2:63" s="11" customFormat="1" ht="22.9" customHeight="1">
      <c r="B448" s="116"/>
      <c r="D448" s="117" t="s">
        <v>76</v>
      </c>
      <c r="E448" s="126" t="s">
        <v>3442</v>
      </c>
      <c r="F448" s="126" t="s">
        <v>3443</v>
      </c>
      <c r="I448" s="119"/>
      <c r="J448" s="127">
        <f>BK448</f>
        <v>0</v>
      </c>
      <c r="L448" s="116"/>
      <c r="M448" s="121"/>
      <c r="P448" s="122">
        <f>SUM(P449:P505)</f>
        <v>0</v>
      </c>
      <c r="R448" s="122">
        <f>SUM(R449:R505)</f>
        <v>3.4389193429699993</v>
      </c>
      <c r="T448" s="123">
        <f>SUM(T449:T505)</f>
        <v>0</v>
      </c>
      <c r="AR448" s="117" t="s">
        <v>87</v>
      </c>
      <c r="AT448" s="124" t="s">
        <v>76</v>
      </c>
      <c r="AU448" s="124" t="s">
        <v>85</v>
      </c>
      <c r="AY448" s="117" t="s">
        <v>177</v>
      </c>
      <c r="BK448" s="125">
        <f>SUM(BK449:BK505)</f>
        <v>0</v>
      </c>
    </row>
    <row r="449" spans="2:65" s="1" customFormat="1" ht="21.75" customHeight="1">
      <c r="B449" s="128"/>
      <c r="C449" s="129" t="s">
        <v>1312</v>
      </c>
      <c r="D449" s="129" t="s">
        <v>180</v>
      </c>
      <c r="E449" s="130" t="s">
        <v>3444</v>
      </c>
      <c r="F449" s="131" t="s">
        <v>3445</v>
      </c>
      <c r="G449" s="132" t="s">
        <v>332</v>
      </c>
      <c r="H449" s="133">
        <v>542.14</v>
      </c>
      <c r="I449" s="134"/>
      <c r="J449" s="135">
        <f>ROUND(I449*H449,2)</f>
        <v>0</v>
      </c>
      <c r="K449" s="131" t="s">
        <v>184</v>
      </c>
      <c r="L449" s="33"/>
      <c r="M449" s="136" t="s">
        <v>3</v>
      </c>
      <c r="N449" s="137" t="s">
        <v>48</v>
      </c>
      <c r="P449" s="138">
        <f>O449*H449</f>
        <v>0</v>
      </c>
      <c r="Q449" s="138">
        <v>7.68E-07</v>
      </c>
      <c r="R449" s="138">
        <f>Q449*H449</f>
        <v>0.00041636352</v>
      </c>
      <c r="S449" s="138">
        <v>0</v>
      </c>
      <c r="T449" s="139">
        <f>S449*H449</f>
        <v>0</v>
      </c>
      <c r="AR449" s="140" t="s">
        <v>237</v>
      </c>
      <c r="AT449" s="140" t="s">
        <v>180</v>
      </c>
      <c r="AU449" s="140" t="s">
        <v>87</v>
      </c>
      <c r="AY449" s="18" t="s">
        <v>177</v>
      </c>
      <c r="BE449" s="141">
        <f>IF(N449="základní",J449,0)</f>
        <v>0</v>
      </c>
      <c r="BF449" s="141">
        <f>IF(N449="snížená",J449,0)</f>
        <v>0</v>
      </c>
      <c r="BG449" s="141">
        <f>IF(N449="zákl. přenesená",J449,0)</f>
        <v>0</v>
      </c>
      <c r="BH449" s="141">
        <f>IF(N449="sníž. přenesená",J449,0)</f>
        <v>0</v>
      </c>
      <c r="BI449" s="141">
        <f>IF(N449="nulová",J449,0)</f>
        <v>0</v>
      </c>
      <c r="BJ449" s="18" t="s">
        <v>85</v>
      </c>
      <c r="BK449" s="141">
        <f>ROUND(I449*H449,2)</f>
        <v>0</v>
      </c>
      <c r="BL449" s="18" t="s">
        <v>237</v>
      </c>
      <c r="BM449" s="140" t="s">
        <v>3446</v>
      </c>
    </row>
    <row r="450" spans="2:47" s="1" customFormat="1" ht="11.25">
      <c r="B450" s="33"/>
      <c r="D450" s="142" t="s">
        <v>187</v>
      </c>
      <c r="F450" s="143" t="s">
        <v>3447</v>
      </c>
      <c r="I450" s="144"/>
      <c r="L450" s="33"/>
      <c r="M450" s="145"/>
      <c r="T450" s="54"/>
      <c r="AT450" s="18" t="s">
        <v>187</v>
      </c>
      <c r="AU450" s="18" t="s">
        <v>87</v>
      </c>
    </row>
    <row r="451" spans="2:47" s="1" customFormat="1" ht="11.25">
      <c r="B451" s="33"/>
      <c r="D451" s="146" t="s">
        <v>189</v>
      </c>
      <c r="F451" s="147" t="s">
        <v>3448</v>
      </c>
      <c r="I451" s="144"/>
      <c r="L451" s="33"/>
      <c r="M451" s="145"/>
      <c r="T451" s="54"/>
      <c r="AT451" s="18" t="s">
        <v>189</v>
      </c>
      <c r="AU451" s="18" t="s">
        <v>87</v>
      </c>
    </row>
    <row r="452" spans="2:47" s="1" customFormat="1" ht="78">
      <c r="B452" s="33"/>
      <c r="D452" s="142" t="s">
        <v>191</v>
      </c>
      <c r="F452" s="148" t="s">
        <v>3449</v>
      </c>
      <c r="I452" s="144"/>
      <c r="L452" s="33"/>
      <c r="M452" s="145"/>
      <c r="T452" s="54"/>
      <c r="AT452" s="18" t="s">
        <v>191</v>
      </c>
      <c r="AU452" s="18" t="s">
        <v>87</v>
      </c>
    </row>
    <row r="453" spans="2:51" s="12" customFormat="1" ht="11.25">
      <c r="B453" s="149"/>
      <c r="D453" s="142" t="s">
        <v>193</v>
      </c>
      <c r="E453" s="150" t="s">
        <v>3</v>
      </c>
      <c r="F453" s="151" t="s">
        <v>3450</v>
      </c>
      <c r="H453" s="152">
        <v>542.14</v>
      </c>
      <c r="I453" s="153"/>
      <c r="L453" s="149"/>
      <c r="M453" s="154"/>
      <c r="T453" s="155"/>
      <c r="AT453" s="150" t="s">
        <v>193</v>
      </c>
      <c r="AU453" s="150" t="s">
        <v>87</v>
      </c>
      <c r="AV453" s="12" t="s">
        <v>87</v>
      </c>
      <c r="AW453" s="12" t="s">
        <v>36</v>
      </c>
      <c r="AX453" s="12" t="s">
        <v>85</v>
      </c>
      <c r="AY453" s="150" t="s">
        <v>177</v>
      </c>
    </row>
    <row r="454" spans="2:65" s="1" customFormat="1" ht="16.5" customHeight="1">
      <c r="B454" s="128"/>
      <c r="C454" s="129" t="s">
        <v>1324</v>
      </c>
      <c r="D454" s="129" t="s">
        <v>180</v>
      </c>
      <c r="E454" s="130" t="s">
        <v>3451</v>
      </c>
      <c r="F454" s="131" t="s">
        <v>3452</v>
      </c>
      <c r="G454" s="132" t="s">
        <v>332</v>
      </c>
      <c r="H454" s="133">
        <v>389.4</v>
      </c>
      <c r="I454" s="134"/>
      <c r="J454" s="135">
        <f>ROUND(I454*H454,2)</f>
        <v>0</v>
      </c>
      <c r="K454" s="131" t="s">
        <v>184</v>
      </c>
      <c r="L454" s="33"/>
      <c r="M454" s="136" t="s">
        <v>3</v>
      </c>
      <c r="N454" s="137" t="s">
        <v>48</v>
      </c>
      <c r="P454" s="138">
        <f>O454*H454</f>
        <v>0</v>
      </c>
      <c r="Q454" s="138">
        <v>0</v>
      </c>
      <c r="R454" s="138">
        <f>Q454*H454</f>
        <v>0</v>
      </c>
      <c r="S454" s="138">
        <v>0</v>
      </c>
      <c r="T454" s="139">
        <f>S454*H454</f>
        <v>0</v>
      </c>
      <c r="AR454" s="140" t="s">
        <v>237</v>
      </c>
      <c r="AT454" s="140" t="s">
        <v>180</v>
      </c>
      <c r="AU454" s="140" t="s">
        <v>87</v>
      </c>
      <c r="AY454" s="18" t="s">
        <v>177</v>
      </c>
      <c r="BE454" s="141">
        <f>IF(N454="základní",J454,0)</f>
        <v>0</v>
      </c>
      <c r="BF454" s="141">
        <f>IF(N454="snížená",J454,0)</f>
        <v>0</v>
      </c>
      <c r="BG454" s="141">
        <f>IF(N454="zákl. přenesená",J454,0)</f>
        <v>0</v>
      </c>
      <c r="BH454" s="141">
        <f>IF(N454="sníž. přenesená",J454,0)</f>
        <v>0</v>
      </c>
      <c r="BI454" s="141">
        <f>IF(N454="nulová",J454,0)</f>
        <v>0</v>
      </c>
      <c r="BJ454" s="18" t="s">
        <v>85</v>
      </c>
      <c r="BK454" s="141">
        <f>ROUND(I454*H454,2)</f>
        <v>0</v>
      </c>
      <c r="BL454" s="18" t="s">
        <v>237</v>
      </c>
      <c r="BM454" s="140" t="s">
        <v>3453</v>
      </c>
    </row>
    <row r="455" spans="2:47" s="1" customFormat="1" ht="11.25">
      <c r="B455" s="33"/>
      <c r="D455" s="142" t="s">
        <v>187</v>
      </c>
      <c r="F455" s="143" t="s">
        <v>3454</v>
      </c>
      <c r="I455" s="144"/>
      <c r="L455" s="33"/>
      <c r="M455" s="145"/>
      <c r="T455" s="54"/>
      <c r="AT455" s="18" t="s">
        <v>187</v>
      </c>
      <c r="AU455" s="18" t="s">
        <v>87</v>
      </c>
    </row>
    <row r="456" spans="2:47" s="1" customFormat="1" ht="11.25">
      <c r="B456" s="33"/>
      <c r="D456" s="146" t="s">
        <v>189</v>
      </c>
      <c r="F456" s="147" t="s">
        <v>3455</v>
      </c>
      <c r="I456" s="144"/>
      <c r="L456" s="33"/>
      <c r="M456" s="145"/>
      <c r="T456" s="54"/>
      <c r="AT456" s="18" t="s">
        <v>189</v>
      </c>
      <c r="AU456" s="18" t="s">
        <v>87</v>
      </c>
    </row>
    <row r="457" spans="2:47" s="1" customFormat="1" ht="78">
      <c r="B457" s="33"/>
      <c r="D457" s="142" t="s">
        <v>191</v>
      </c>
      <c r="F457" s="148" t="s">
        <v>3449</v>
      </c>
      <c r="I457" s="144"/>
      <c r="L457" s="33"/>
      <c r="M457" s="145"/>
      <c r="T457" s="54"/>
      <c r="AT457" s="18" t="s">
        <v>191</v>
      </c>
      <c r="AU457" s="18" t="s">
        <v>87</v>
      </c>
    </row>
    <row r="458" spans="2:65" s="1" customFormat="1" ht="24.2" customHeight="1">
      <c r="B458" s="128"/>
      <c r="C458" s="129" t="s">
        <v>1332</v>
      </c>
      <c r="D458" s="129" t="s">
        <v>180</v>
      </c>
      <c r="E458" s="130" t="s">
        <v>3456</v>
      </c>
      <c r="F458" s="131" t="s">
        <v>3457</v>
      </c>
      <c r="G458" s="132" t="s">
        <v>332</v>
      </c>
      <c r="H458" s="133">
        <v>389.4</v>
      </c>
      <c r="I458" s="134"/>
      <c r="J458" s="135">
        <f>ROUND(I458*H458,2)</f>
        <v>0</v>
      </c>
      <c r="K458" s="131" t="s">
        <v>184</v>
      </c>
      <c r="L458" s="33"/>
      <c r="M458" s="136" t="s">
        <v>3</v>
      </c>
      <c r="N458" s="137" t="s">
        <v>48</v>
      </c>
      <c r="P458" s="138">
        <f>O458*H458</f>
        <v>0</v>
      </c>
      <c r="Q458" s="138">
        <v>3.3E-05</v>
      </c>
      <c r="R458" s="138">
        <f>Q458*H458</f>
        <v>0.0128502</v>
      </c>
      <c r="S458" s="138">
        <v>0</v>
      </c>
      <c r="T458" s="139">
        <f>S458*H458</f>
        <v>0</v>
      </c>
      <c r="AR458" s="140" t="s">
        <v>237</v>
      </c>
      <c r="AT458" s="140" t="s">
        <v>180</v>
      </c>
      <c r="AU458" s="140" t="s">
        <v>87</v>
      </c>
      <c r="AY458" s="18" t="s">
        <v>177</v>
      </c>
      <c r="BE458" s="141">
        <f>IF(N458="základní",J458,0)</f>
        <v>0</v>
      </c>
      <c r="BF458" s="141">
        <f>IF(N458="snížená",J458,0)</f>
        <v>0</v>
      </c>
      <c r="BG458" s="141">
        <f>IF(N458="zákl. přenesená",J458,0)</f>
        <v>0</v>
      </c>
      <c r="BH458" s="141">
        <f>IF(N458="sníž. přenesená",J458,0)</f>
        <v>0</v>
      </c>
      <c r="BI458" s="141">
        <f>IF(N458="nulová",J458,0)</f>
        <v>0</v>
      </c>
      <c r="BJ458" s="18" t="s">
        <v>85</v>
      </c>
      <c r="BK458" s="141">
        <f>ROUND(I458*H458,2)</f>
        <v>0</v>
      </c>
      <c r="BL458" s="18" t="s">
        <v>237</v>
      </c>
      <c r="BM458" s="140" t="s">
        <v>3458</v>
      </c>
    </row>
    <row r="459" spans="2:47" s="1" customFormat="1" ht="11.25">
      <c r="B459" s="33"/>
      <c r="D459" s="142" t="s">
        <v>187</v>
      </c>
      <c r="F459" s="143" t="s">
        <v>3459</v>
      </c>
      <c r="I459" s="144"/>
      <c r="L459" s="33"/>
      <c r="M459" s="145"/>
      <c r="T459" s="54"/>
      <c r="AT459" s="18" t="s">
        <v>187</v>
      </c>
      <c r="AU459" s="18" t="s">
        <v>87</v>
      </c>
    </row>
    <row r="460" spans="2:47" s="1" customFormat="1" ht="11.25">
      <c r="B460" s="33"/>
      <c r="D460" s="146" t="s">
        <v>189</v>
      </c>
      <c r="F460" s="147" t="s">
        <v>3460</v>
      </c>
      <c r="I460" s="144"/>
      <c r="L460" s="33"/>
      <c r="M460" s="145"/>
      <c r="T460" s="54"/>
      <c r="AT460" s="18" t="s">
        <v>189</v>
      </c>
      <c r="AU460" s="18" t="s">
        <v>87</v>
      </c>
    </row>
    <row r="461" spans="2:47" s="1" customFormat="1" ht="78">
      <c r="B461" s="33"/>
      <c r="D461" s="142" t="s">
        <v>191</v>
      </c>
      <c r="F461" s="148" t="s">
        <v>3449</v>
      </c>
      <c r="I461" s="144"/>
      <c r="L461" s="33"/>
      <c r="M461" s="145"/>
      <c r="T461" s="54"/>
      <c r="AT461" s="18" t="s">
        <v>191</v>
      </c>
      <c r="AU461" s="18" t="s">
        <v>87</v>
      </c>
    </row>
    <row r="462" spans="2:65" s="1" customFormat="1" ht="33" customHeight="1">
      <c r="B462" s="128"/>
      <c r="C462" s="129" t="s">
        <v>1338</v>
      </c>
      <c r="D462" s="129" t="s">
        <v>180</v>
      </c>
      <c r="E462" s="130" t="s">
        <v>3461</v>
      </c>
      <c r="F462" s="131" t="s">
        <v>3462</v>
      </c>
      <c r="G462" s="132" t="s">
        <v>332</v>
      </c>
      <c r="H462" s="133">
        <v>389.4</v>
      </c>
      <c r="I462" s="134"/>
      <c r="J462" s="135">
        <f>ROUND(I462*H462,2)</f>
        <v>0</v>
      </c>
      <c r="K462" s="131" t="s">
        <v>184</v>
      </c>
      <c r="L462" s="33"/>
      <c r="M462" s="136" t="s">
        <v>3</v>
      </c>
      <c r="N462" s="137" t="s">
        <v>48</v>
      </c>
      <c r="P462" s="138">
        <f>O462*H462</f>
        <v>0</v>
      </c>
      <c r="Q462" s="138">
        <v>0.0045</v>
      </c>
      <c r="R462" s="138">
        <f>Q462*H462</f>
        <v>1.7522999999999997</v>
      </c>
      <c r="S462" s="138">
        <v>0</v>
      </c>
      <c r="T462" s="139">
        <f>S462*H462</f>
        <v>0</v>
      </c>
      <c r="AR462" s="140" t="s">
        <v>237</v>
      </c>
      <c r="AT462" s="140" t="s">
        <v>180</v>
      </c>
      <c r="AU462" s="140" t="s">
        <v>87</v>
      </c>
      <c r="AY462" s="18" t="s">
        <v>177</v>
      </c>
      <c r="BE462" s="141">
        <f>IF(N462="základní",J462,0)</f>
        <v>0</v>
      </c>
      <c r="BF462" s="141">
        <f>IF(N462="snížená",J462,0)</f>
        <v>0</v>
      </c>
      <c r="BG462" s="141">
        <f>IF(N462="zákl. přenesená",J462,0)</f>
        <v>0</v>
      </c>
      <c r="BH462" s="141">
        <f>IF(N462="sníž. přenesená",J462,0)</f>
        <v>0</v>
      </c>
      <c r="BI462" s="141">
        <f>IF(N462="nulová",J462,0)</f>
        <v>0</v>
      </c>
      <c r="BJ462" s="18" t="s">
        <v>85</v>
      </c>
      <c r="BK462" s="141">
        <f>ROUND(I462*H462,2)</f>
        <v>0</v>
      </c>
      <c r="BL462" s="18" t="s">
        <v>237</v>
      </c>
      <c r="BM462" s="140" t="s">
        <v>3463</v>
      </c>
    </row>
    <row r="463" spans="2:47" s="1" customFormat="1" ht="19.5">
      <c r="B463" s="33"/>
      <c r="D463" s="142" t="s">
        <v>187</v>
      </c>
      <c r="F463" s="143" t="s">
        <v>3464</v>
      </c>
      <c r="I463" s="144"/>
      <c r="L463" s="33"/>
      <c r="M463" s="145"/>
      <c r="T463" s="54"/>
      <c r="AT463" s="18" t="s">
        <v>187</v>
      </c>
      <c r="AU463" s="18" t="s">
        <v>87</v>
      </c>
    </row>
    <row r="464" spans="2:47" s="1" customFormat="1" ht="11.25">
      <c r="B464" s="33"/>
      <c r="D464" s="146" t="s">
        <v>189</v>
      </c>
      <c r="F464" s="147" t="s">
        <v>3465</v>
      </c>
      <c r="I464" s="144"/>
      <c r="L464" s="33"/>
      <c r="M464" s="145"/>
      <c r="T464" s="54"/>
      <c r="AT464" s="18" t="s">
        <v>189</v>
      </c>
      <c r="AU464" s="18" t="s">
        <v>87</v>
      </c>
    </row>
    <row r="465" spans="2:47" s="1" customFormat="1" ht="78">
      <c r="B465" s="33"/>
      <c r="D465" s="142" t="s">
        <v>191</v>
      </c>
      <c r="F465" s="148" t="s">
        <v>3449</v>
      </c>
      <c r="I465" s="144"/>
      <c r="L465" s="33"/>
      <c r="M465" s="145"/>
      <c r="T465" s="54"/>
      <c r="AT465" s="18" t="s">
        <v>191</v>
      </c>
      <c r="AU465" s="18" t="s">
        <v>87</v>
      </c>
    </row>
    <row r="466" spans="2:65" s="1" customFormat="1" ht="24.2" customHeight="1">
      <c r="B466" s="128"/>
      <c r="C466" s="129" t="s">
        <v>2680</v>
      </c>
      <c r="D466" s="129" t="s">
        <v>180</v>
      </c>
      <c r="E466" s="130" t="s">
        <v>3466</v>
      </c>
      <c r="F466" s="131" t="s">
        <v>3467</v>
      </c>
      <c r="G466" s="132" t="s">
        <v>332</v>
      </c>
      <c r="H466" s="133">
        <v>389.4</v>
      </c>
      <c r="I466" s="134"/>
      <c r="J466" s="135">
        <f>ROUND(I466*H466,2)</f>
        <v>0</v>
      </c>
      <c r="K466" s="131" t="s">
        <v>184</v>
      </c>
      <c r="L466" s="33"/>
      <c r="M466" s="136" t="s">
        <v>3</v>
      </c>
      <c r="N466" s="137" t="s">
        <v>48</v>
      </c>
      <c r="P466" s="138">
        <f>O466*H466</f>
        <v>0</v>
      </c>
      <c r="Q466" s="138">
        <v>0.0004</v>
      </c>
      <c r="R466" s="138">
        <f>Q466*H466</f>
        <v>0.15576</v>
      </c>
      <c r="S466" s="138">
        <v>0</v>
      </c>
      <c r="T466" s="139">
        <f>S466*H466</f>
        <v>0</v>
      </c>
      <c r="AR466" s="140" t="s">
        <v>237</v>
      </c>
      <c r="AT466" s="140" t="s">
        <v>180</v>
      </c>
      <c r="AU466" s="140" t="s">
        <v>87</v>
      </c>
      <c r="AY466" s="18" t="s">
        <v>177</v>
      </c>
      <c r="BE466" s="141">
        <f>IF(N466="základní",J466,0)</f>
        <v>0</v>
      </c>
      <c r="BF466" s="141">
        <f>IF(N466="snížená",J466,0)</f>
        <v>0</v>
      </c>
      <c r="BG466" s="141">
        <f>IF(N466="zákl. přenesená",J466,0)</f>
        <v>0</v>
      </c>
      <c r="BH466" s="141">
        <f>IF(N466="sníž. přenesená",J466,0)</f>
        <v>0</v>
      </c>
      <c r="BI466" s="141">
        <f>IF(N466="nulová",J466,0)</f>
        <v>0</v>
      </c>
      <c r="BJ466" s="18" t="s">
        <v>85</v>
      </c>
      <c r="BK466" s="141">
        <f>ROUND(I466*H466,2)</f>
        <v>0</v>
      </c>
      <c r="BL466" s="18" t="s">
        <v>237</v>
      </c>
      <c r="BM466" s="140" t="s">
        <v>3468</v>
      </c>
    </row>
    <row r="467" spans="2:47" s="1" customFormat="1" ht="19.5">
      <c r="B467" s="33"/>
      <c r="D467" s="142" t="s">
        <v>187</v>
      </c>
      <c r="F467" s="143" t="s">
        <v>3469</v>
      </c>
      <c r="I467" s="144"/>
      <c r="L467" s="33"/>
      <c r="M467" s="145"/>
      <c r="T467" s="54"/>
      <c r="AT467" s="18" t="s">
        <v>187</v>
      </c>
      <c r="AU467" s="18" t="s">
        <v>87</v>
      </c>
    </row>
    <row r="468" spans="2:47" s="1" customFormat="1" ht="11.25">
      <c r="B468" s="33"/>
      <c r="D468" s="146" t="s">
        <v>189</v>
      </c>
      <c r="F468" s="147" t="s">
        <v>3470</v>
      </c>
      <c r="I468" s="144"/>
      <c r="L468" s="33"/>
      <c r="M468" s="145"/>
      <c r="T468" s="54"/>
      <c r="AT468" s="18" t="s">
        <v>189</v>
      </c>
      <c r="AU468" s="18" t="s">
        <v>87</v>
      </c>
    </row>
    <row r="469" spans="2:51" s="12" customFormat="1" ht="11.25">
      <c r="B469" s="149"/>
      <c r="D469" s="142" t="s">
        <v>193</v>
      </c>
      <c r="E469" s="150" t="s">
        <v>3</v>
      </c>
      <c r="F469" s="151" t="s">
        <v>3471</v>
      </c>
      <c r="H469" s="152">
        <v>171</v>
      </c>
      <c r="I469" s="153"/>
      <c r="L469" s="149"/>
      <c r="M469" s="154"/>
      <c r="T469" s="155"/>
      <c r="AT469" s="150" t="s">
        <v>193</v>
      </c>
      <c r="AU469" s="150" t="s">
        <v>87</v>
      </c>
      <c r="AV469" s="12" t="s">
        <v>87</v>
      </c>
      <c r="AW469" s="12" t="s">
        <v>36</v>
      </c>
      <c r="AX469" s="12" t="s">
        <v>77</v>
      </c>
      <c r="AY469" s="150" t="s">
        <v>177</v>
      </c>
    </row>
    <row r="470" spans="2:51" s="12" customFormat="1" ht="11.25">
      <c r="B470" s="149"/>
      <c r="D470" s="142" t="s">
        <v>193</v>
      </c>
      <c r="E470" s="150" t="s">
        <v>3</v>
      </c>
      <c r="F470" s="151" t="s">
        <v>3472</v>
      </c>
      <c r="H470" s="152">
        <v>218.4</v>
      </c>
      <c r="I470" s="153"/>
      <c r="L470" s="149"/>
      <c r="M470" s="154"/>
      <c r="T470" s="155"/>
      <c r="AT470" s="150" t="s">
        <v>193</v>
      </c>
      <c r="AU470" s="150" t="s">
        <v>87</v>
      </c>
      <c r="AV470" s="12" t="s">
        <v>87</v>
      </c>
      <c r="AW470" s="12" t="s">
        <v>36</v>
      </c>
      <c r="AX470" s="12" t="s">
        <v>77</v>
      </c>
      <c r="AY470" s="150" t="s">
        <v>177</v>
      </c>
    </row>
    <row r="471" spans="2:51" s="15" customFormat="1" ht="11.25">
      <c r="B471" s="169"/>
      <c r="D471" s="142" t="s">
        <v>193</v>
      </c>
      <c r="E471" s="170" t="s">
        <v>3</v>
      </c>
      <c r="F471" s="171" t="s">
        <v>201</v>
      </c>
      <c r="H471" s="172">
        <v>389.4</v>
      </c>
      <c r="I471" s="173"/>
      <c r="L471" s="169"/>
      <c r="M471" s="174"/>
      <c r="T471" s="175"/>
      <c r="AT471" s="170" t="s">
        <v>193</v>
      </c>
      <c r="AU471" s="170" t="s">
        <v>87</v>
      </c>
      <c r="AV471" s="15" t="s">
        <v>185</v>
      </c>
      <c r="AW471" s="15" t="s">
        <v>36</v>
      </c>
      <c r="AX471" s="15" t="s">
        <v>85</v>
      </c>
      <c r="AY471" s="170" t="s">
        <v>177</v>
      </c>
    </row>
    <row r="472" spans="2:65" s="1" customFormat="1" ht="24.2" customHeight="1">
      <c r="B472" s="128"/>
      <c r="C472" s="179" t="s">
        <v>2682</v>
      </c>
      <c r="D472" s="179" t="s">
        <v>484</v>
      </c>
      <c r="E472" s="180" t="s">
        <v>3473</v>
      </c>
      <c r="F472" s="181" t="s">
        <v>3474</v>
      </c>
      <c r="G472" s="182" t="s">
        <v>332</v>
      </c>
      <c r="H472" s="183">
        <v>428.34</v>
      </c>
      <c r="I472" s="184"/>
      <c r="J472" s="185">
        <f>ROUND(I472*H472,2)</f>
        <v>0</v>
      </c>
      <c r="K472" s="181" t="s">
        <v>184</v>
      </c>
      <c r="L472" s="186"/>
      <c r="M472" s="187" t="s">
        <v>3</v>
      </c>
      <c r="N472" s="188" t="s">
        <v>48</v>
      </c>
      <c r="P472" s="138">
        <f>O472*H472</f>
        <v>0</v>
      </c>
      <c r="Q472" s="138">
        <v>0.0034</v>
      </c>
      <c r="R472" s="138">
        <f>Q472*H472</f>
        <v>1.4563559999999998</v>
      </c>
      <c r="S472" s="138">
        <v>0</v>
      </c>
      <c r="T472" s="139">
        <f>S472*H472</f>
        <v>0</v>
      </c>
      <c r="AR472" s="140" t="s">
        <v>537</v>
      </c>
      <c r="AT472" s="140" t="s">
        <v>484</v>
      </c>
      <c r="AU472" s="140" t="s">
        <v>87</v>
      </c>
      <c r="AY472" s="18" t="s">
        <v>177</v>
      </c>
      <c r="BE472" s="141">
        <f>IF(N472="základní",J472,0)</f>
        <v>0</v>
      </c>
      <c r="BF472" s="141">
        <f>IF(N472="snížená",J472,0)</f>
        <v>0</v>
      </c>
      <c r="BG472" s="141">
        <f>IF(N472="zákl. přenesená",J472,0)</f>
        <v>0</v>
      </c>
      <c r="BH472" s="141">
        <f>IF(N472="sníž. přenesená",J472,0)</f>
        <v>0</v>
      </c>
      <c r="BI472" s="141">
        <f>IF(N472="nulová",J472,0)</f>
        <v>0</v>
      </c>
      <c r="BJ472" s="18" t="s">
        <v>85</v>
      </c>
      <c r="BK472" s="141">
        <f>ROUND(I472*H472,2)</f>
        <v>0</v>
      </c>
      <c r="BL472" s="18" t="s">
        <v>237</v>
      </c>
      <c r="BM472" s="140" t="s">
        <v>3475</v>
      </c>
    </row>
    <row r="473" spans="2:47" s="1" customFormat="1" ht="19.5">
      <c r="B473" s="33"/>
      <c r="D473" s="142" t="s">
        <v>187</v>
      </c>
      <c r="F473" s="143" t="s">
        <v>3474</v>
      </c>
      <c r="I473" s="144"/>
      <c r="L473" s="33"/>
      <c r="M473" s="145"/>
      <c r="T473" s="54"/>
      <c r="AT473" s="18" t="s">
        <v>187</v>
      </c>
      <c r="AU473" s="18" t="s">
        <v>87</v>
      </c>
    </row>
    <row r="474" spans="2:51" s="12" customFormat="1" ht="11.25">
      <c r="B474" s="149"/>
      <c r="D474" s="142" t="s">
        <v>193</v>
      </c>
      <c r="F474" s="151" t="s">
        <v>3476</v>
      </c>
      <c r="H474" s="152">
        <v>428.34</v>
      </c>
      <c r="I474" s="153"/>
      <c r="L474" s="149"/>
      <c r="M474" s="154"/>
      <c r="T474" s="155"/>
      <c r="AT474" s="150" t="s">
        <v>193</v>
      </c>
      <c r="AU474" s="150" t="s">
        <v>87</v>
      </c>
      <c r="AV474" s="12" t="s">
        <v>87</v>
      </c>
      <c r="AW474" s="12" t="s">
        <v>4</v>
      </c>
      <c r="AX474" s="12" t="s">
        <v>85</v>
      </c>
      <c r="AY474" s="150" t="s">
        <v>177</v>
      </c>
    </row>
    <row r="475" spans="2:65" s="1" customFormat="1" ht="24.2" customHeight="1">
      <c r="B475" s="128"/>
      <c r="C475" s="129" t="s">
        <v>2685</v>
      </c>
      <c r="D475" s="129" t="s">
        <v>180</v>
      </c>
      <c r="E475" s="130" t="s">
        <v>3477</v>
      </c>
      <c r="F475" s="131" t="s">
        <v>3478</v>
      </c>
      <c r="G475" s="132" t="s">
        <v>476</v>
      </c>
      <c r="H475" s="133">
        <v>76.29</v>
      </c>
      <c r="I475" s="134"/>
      <c r="J475" s="135">
        <f>ROUND(I475*H475,2)</f>
        <v>0</v>
      </c>
      <c r="K475" s="131" t="s">
        <v>184</v>
      </c>
      <c r="L475" s="33"/>
      <c r="M475" s="136" t="s">
        <v>3</v>
      </c>
      <c r="N475" s="137" t="s">
        <v>48</v>
      </c>
      <c r="P475" s="138">
        <f>O475*H475</f>
        <v>0</v>
      </c>
      <c r="Q475" s="138">
        <v>1.84E-05</v>
      </c>
      <c r="R475" s="138">
        <f>Q475*H475</f>
        <v>0.001403736</v>
      </c>
      <c r="S475" s="138">
        <v>0</v>
      </c>
      <c r="T475" s="139">
        <f>S475*H475</f>
        <v>0</v>
      </c>
      <c r="AR475" s="140" t="s">
        <v>237</v>
      </c>
      <c r="AT475" s="140" t="s">
        <v>180</v>
      </c>
      <c r="AU475" s="140" t="s">
        <v>87</v>
      </c>
      <c r="AY475" s="18" t="s">
        <v>177</v>
      </c>
      <c r="BE475" s="141">
        <f>IF(N475="základní",J475,0)</f>
        <v>0</v>
      </c>
      <c r="BF475" s="141">
        <f>IF(N475="snížená",J475,0)</f>
        <v>0</v>
      </c>
      <c r="BG475" s="141">
        <f>IF(N475="zákl. přenesená",J475,0)</f>
        <v>0</v>
      </c>
      <c r="BH475" s="141">
        <f>IF(N475="sníž. přenesená",J475,0)</f>
        <v>0</v>
      </c>
      <c r="BI475" s="141">
        <f>IF(N475="nulová",J475,0)</f>
        <v>0</v>
      </c>
      <c r="BJ475" s="18" t="s">
        <v>85</v>
      </c>
      <c r="BK475" s="141">
        <f>ROUND(I475*H475,2)</f>
        <v>0</v>
      </c>
      <c r="BL475" s="18" t="s">
        <v>237</v>
      </c>
      <c r="BM475" s="140" t="s">
        <v>3479</v>
      </c>
    </row>
    <row r="476" spans="2:47" s="1" customFormat="1" ht="19.5">
      <c r="B476" s="33"/>
      <c r="D476" s="142" t="s">
        <v>187</v>
      </c>
      <c r="F476" s="143" t="s">
        <v>3480</v>
      </c>
      <c r="I476" s="144"/>
      <c r="L476" s="33"/>
      <c r="M476" s="145"/>
      <c r="T476" s="54"/>
      <c r="AT476" s="18" t="s">
        <v>187</v>
      </c>
      <c r="AU476" s="18" t="s">
        <v>87</v>
      </c>
    </row>
    <row r="477" spans="2:47" s="1" customFormat="1" ht="11.25">
      <c r="B477" s="33"/>
      <c r="D477" s="146" t="s">
        <v>189</v>
      </c>
      <c r="F477" s="147" t="s">
        <v>3481</v>
      </c>
      <c r="I477" s="144"/>
      <c r="L477" s="33"/>
      <c r="M477" s="145"/>
      <c r="T477" s="54"/>
      <c r="AT477" s="18" t="s">
        <v>189</v>
      </c>
      <c r="AU477" s="18" t="s">
        <v>87</v>
      </c>
    </row>
    <row r="478" spans="2:51" s="12" customFormat="1" ht="11.25">
      <c r="B478" s="149"/>
      <c r="D478" s="142" t="s">
        <v>193</v>
      </c>
      <c r="E478" s="150" t="s">
        <v>3</v>
      </c>
      <c r="F478" s="151" t="s">
        <v>3482</v>
      </c>
      <c r="H478" s="152">
        <v>35</v>
      </c>
      <c r="I478" s="153"/>
      <c r="L478" s="149"/>
      <c r="M478" s="154"/>
      <c r="T478" s="155"/>
      <c r="AT478" s="150" t="s">
        <v>193</v>
      </c>
      <c r="AU478" s="150" t="s">
        <v>87</v>
      </c>
      <c r="AV478" s="12" t="s">
        <v>87</v>
      </c>
      <c r="AW478" s="12" t="s">
        <v>36</v>
      </c>
      <c r="AX478" s="12" t="s">
        <v>77</v>
      </c>
      <c r="AY478" s="150" t="s">
        <v>177</v>
      </c>
    </row>
    <row r="479" spans="2:51" s="12" customFormat="1" ht="11.25">
      <c r="B479" s="149"/>
      <c r="D479" s="142" t="s">
        <v>193</v>
      </c>
      <c r="E479" s="150" t="s">
        <v>3</v>
      </c>
      <c r="F479" s="151" t="s">
        <v>3483</v>
      </c>
      <c r="H479" s="152">
        <v>13.69</v>
      </c>
      <c r="I479" s="153"/>
      <c r="L479" s="149"/>
      <c r="M479" s="154"/>
      <c r="T479" s="155"/>
      <c r="AT479" s="150" t="s">
        <v>193</v>
      </c>
      <c r="AU479" s="150" t="s">
        <v>87</v>
      </c>
      <c r="AV479" s="12" t="s">
        <v>87</v>
      </c>
      <c r="AW479" s="12" t="s">
        <v>36</v>
      </c>
      <c r="AX479" s="12" t="s">
        <v>77</v>
      </c>
      <c r="AY479" s="150" t="s">
        <v>177</v>
      </c>
    </row>
    <row r="480" spans="2:51" s="12" customFormat="1" ht="11.25">
      <c r="B480" s="149"/>
      <c r="D480" s="142" t="s">
        <v>193</v>
      </c>
      <c r="E480" s="150" t="s">
        <v>3</v>
      </c>
      <c r="F480" s="151" t="s">
        <v>3484</v>
      </c>
      <c r="H480" s="152">
        <v>9.8</v>
      </c>
      <c r="I480" s="153"/>
      <c r="L480" s="149"/>
      <c r="M480" s="154"/>
      <c r="T480" s="155"/>
      <c r="AT480" s="150" t="s">
        <v>193</v>
      </c>
      <c r="AU480" s="150" t="s">
        <v>87</v>
      </c>
      <c r="AV480" s="12" t="s">
        <v>87</v>
      </c>
      <c r="AW480" s="12" t="s">
        <v>36</v>
      </c>
      <c r="AX480" s="12" t="s">
        <v>77</v>
      </c>
      <c r="AY480" s="150" t="s">
        <v>177</v>
      </c>
    </row>
    <row r="481" spans="2:51" s="12" customFormat="1" ht="11.25">
      <c r="B481" s="149"/>
      <c r="D481" s="142" t="s">
        <v>193</v>
      </c>
      <c r="E481" s="150" t="s">
        <v>3</v>
      </c>
      <c r="F481" s="151" t="s">
        <v>3485</v>
      </c>
      <c r="H481" s="152">
        <v>17.8</v>
      </c>
      <c r="I481" s="153"/>
      <c r="L481" s="149"/>
      <c r="M481" s="154"/>
      <c r="T481" s="155"/>
      <c r="AT481" s="150" t="s">
        <v>193</v>
      </c>
      <c r="AU481" s="150" t="s">
        <v>87</v>
      </c>
      <c r="AV481" s="12" t="s">
        <v>87</v>
      </c>
      <c r="AW481" s="12" t="s">
        <v>36</v>
      </c>
      <c r="AX481" s="12" t="s">
        <v>77</v>
      </c>
      <c r="AY481" s="150" t="s">
        <v>177</v>
      </c>
    </row>
    <row r="482" spans="2:51" s="15" customFormat="1" ht="11.25">
      <c r="B482" s="169"/>
      <c r="D482" s="142" t="s">
        <v>193</v>
      </c>
      <c r="E482" s="170" t="s">
        <v>3</v>
      </c>
      <c r="F482" s="171" t="s">
        <v>201</v>
      </c>
      <c r="H482" s="172">
        <v>76.29</v>
      </c>
      <c r="I482" s="173"/>
      <c r="L482" s="169"/>
      <c r="M482" s="174"/>
      <c r="T482" s="175"/>
      <c r="AT482" s="170" t="s">
        <v>193</v>
      </c>
      <c r="AU482" s="170" t="s">
        <v>87</v>
      </c>
      <c r="AV482" s="15" t="s">
        <v>185</v>
      </c>
      <c r="AW482" s="15" t="s">
        <v>36</v>
      </c>
      <c r="AX482" s="15" t="s">
        <v>85</v>
      </c>
      <c r="AY482" s="170" t="s">
        <v>177</v>
      </c>
    </row>
    <row r="483" spans="2:65" s="1" customFormat="1" ht="16.5" customHeight="1">
      <c r="B483" s="128"/>
      <c r="C483" s="129" t="s">
        <v>2687</v>
      </c>
      <c r="D483" s="129" t="s">
        <v>180</v>
      </c>
      <c r="E483" s="130" t="s">
        <v>3486</v>
      </c>
      <c r="F483" s="131" t="s">
        <v>3487</v>
      </c>
      <c r="G483" s="132" t="s">
        <v>476</v>
      </c>
      <c r="H483" s="133">
        <v>160.87</v>
      </c>
      <c r="I483" s="134"/>
      <c r="J483" s="135">
        <f>ROUND(I483*H483,2)</f>
        <v>0</v>
      </c>
      <c r="K483" s="131" t="s">
        <v>184</v>
      </c>
      <c r="L483" s="33"/>
      <c r="M483" s="136" t="s">
        <v>3</v>
      </c>
      <c r="N483" s="137" t="s">
        <v>48</v>
      </c>
      <c r="P483" s="138">
        <f>O483*H483</f>
        <v>0</v>
      </c>
      <c r="Q483" s="138">
        <v>1.4935E-05</v>
      </c>
      <c r="R483" s="138">
        <f>Q483*H483</f>
        <v>0.00240259345</v>
      </c>
      <c r="S483" s="138">
        <v>0</v>
      </c>
      <c r="T483" s="139">
        <f>S483*H483</f>
        <v>0</v>
      </c>
      <c r="AR483" s="140" t="s">
        <v>237</v>
      </c>
      <c r="AT483" s="140" t="s">
        <v>180</v>
      </c>
      <c r="AU483" s="140" t="s">
        <v>87</v>
      </c>
      <c r="AY483" s="18" t="s">
        <v>177</v>
      </c>
      <c r="BE483" s="141">
        <f>IF(N483="základní",J483,0)</f>
        <v>0</v>
      </c>
      <c r="BF483" s="141">
        <f>IF(N483="snížená",J483,0)</f>
        <v>0</v>
      </c>
      <c r="BG483" s="141">
        <f>IF(N483="zákl. přenesená",J483,0)</f>
        <v>0</v>
      </c>
      <c r="BH483" s="141">
        <f>IF(N483="sníž. přenesená",J483,0)</f>
        <v>0</v>
      </c>
      <c r="BI483" s="141">
        <f>IF(N483="nulová",J483,0)</f>
        <v>0</v>
      </c>
      <c r="BJ483" s="18" t="s">
        <v>85</v>
      </c>
      <c r="BK483" s="141">
        <f>ROUND(I483*H483,2)</f>
        <v>0</v>
      </c>
      <c r="BL483" s="18" t="s">
        <v>237</v>
      </c>
      <c r="BM483" s="140" t="s">
        <v>3488</v>
      </c>
    </row>
    <row r="484" spans="2:47" s="1" customFormat="1" ht="11.25">
      <c r="B484" s="33"/>
      <c r="D484" s="142" t="s">
        <v>187</v>
      </c>
      <c r="F484" s="143" t="s">
        <v>3489</v>
      </c>
      <c r="I484" s="144"/>
      <c r="L484" s="33"/>
      <c r="M484" s="145"/>
      <c r="T484" s="54"/>
      <c r="AT484" s="18" t="s">
        <v>187</v>
      </c>
      <c r="AU484" s="18" t="s">
        <v>87</v>
      </c>
    </row>
    <row r="485" spans="2:47" s="1" customFormat="1" ht="11.25">
      <c r="B485" s="33"/>
      <c r="D485" s="146" t="s">
        <v>189</v>
      </c>
      <c r="F485" s="147" t="s">
        <v>3490</v>
      </c>
      <c r="I485" s="144"/>
      <c r="L485" s="33"/>
      <c r="M485" s="145"/>
      <c r="T485" s="54"/>
      <c r="AT485" s="18" t="s">
        <v>189</v>
      </c>
      <c r="AU485" s="18" t="s">
        <v>87</v>
      </c>
    </row>
    <row r="486" spans="2:51" s="12" customFormat="1" ht="11.25">
      <c r="B486" s="149"/>
      <c r="D486" s="142" t="s">
        <v>193</v>
      </c>
      <c r="E486" s="150" t="s">
        <v>3</v>
      </c>
      <c r="F486" s="151" t="s">
        <v>3491</v>
      </c>
      <c r="H486" s="152">
        <v>50.51</v>
      </c>
      <c r="I486" s="153"/>
      <c r="L486" s="149"/>
      <c r="M486" s="154"/>
      <c r="T486" s="155"/>
      <c r="AT486" s="150" t="s">
        <v>193</v>
      </c>
      <c r="AU486" s="150" t="s">
        <v>87</v>
      </c>
      <c r="AV486" s="12" t="s">
        <v>87</v>
      </c>
      <c r="AW486" s="12" t="s">
        <v>36</v>
      </c>
      <c r="AX486" s="12" t="s">
        <v>77</v>
      </c>
      <c r="AY486" s="150" t="s">
        <v>177</v>
      </c>
    </row>
    <row r="487" spans="2:51" s="12" customFormat="1" ht="11.25">
      <c r="B487" s="149"/>
      <c r="D487" s="142" t="s">
        <v>193</v>
      </c>
      <c r="E487" s="150" t="s">
        <v>3</v>
      </c>
      <c r="F487" s="151" t="s">
        <v>3492</v>
      </c>
      <c r="H487" s="152">
        <v>37.78</v>
      </c>
      <c r="I487" s="153"/>
      <c r="L487" s="149"/>
      <c r="M487" s="154"/>
      <c r="T487" s="155"/>
      <c r="AT487" s="150" t="s">
        <v>193</v>
      </c>
      <c r="AU487" s="150" t="s">
        <v>87</v>
      </c>
      <c r="AV487" s="12" t="s">
        <v>87</v>
      </c>
      <c r="AW487" s="12" t="s">
        <v>36</v>
      </c>
      <c r="AX487" s="12" t="s">
        <v>77</v>
      </c>
      <c r="AY487" s="150" t="s">
        <v>177</v>
      </c>
    </row>
    <row r="488" spans="2:51" s="12" customFormat="1" ht="11.25">
      <c r="B488" s="149"/>
      <c r="D488" s="142" t="s">
        <v>193</v>
      </c>
      <c r="E488" s="150" t="s">
        <v>3</v>
      </c>
      <c r="F488" s="151" t="s">
        <v>3493</v>
      </c>
      <c r="H488" s="152">
        <v>44.51</v>
      </c>
      <c r="I488" s="153"/>
      <c r="L488" s="149"/>
      <c r="M488" s="154"/>
      <c r="T488" s="155"/>
      <c r="AT488" s="150" t="s">
        <v>193</v>
      </c>
      <c r="AU488" s="150" t="s">
        <v>87</v>
      </c>
      <c r="AV488" s="12" t="s">
        <v>87</v>
      </c>
      <c r="AW488" s="12" t="s">
        <v>36</v>
      </c>
      <c r="AX488" s="12" t="s">
        <v>77</v>
      </c>
      <c r="AY488" s="150" t="s">
        <v>177</v>
      </c>
    </row>
    <row r="489" spans="2:51" s="12" customFormat="1" ht="11.25">
      <c r="B489" s="149"/>
      <c r="D489" s="142" t="s">
        <v>193</v>
      </c>
      <c r="E489" s="150" t="s">
        <v>3</v>
      </c>
      <c r="F489" s="151" t="s">
        <v>3494</v>
      </c>
      <c r="H489" s="152">
        <v>28.07</v>
      </c>
      <c r="I489" s="153"/>
      <c r="L489" s="149"/>
      <c r="M489" s="154"/>
      <c r="T489" s="155"/>
      <c r="AT489" s="150" t="s">
        <v>193</v>
      </c>
      <c r="AU489" s="150" t="s">
        <v>87</v>
      </c>
      <c r="AV489" s="12" t="s">
        <v>87</v>
      </c>
      <c r="AW489" s="12" t="s">
        <v>36</v>
      </c>
      <c r="AX489" s="12" t="s">
        <v>77</v>
      </c>
      <c r="AY489" s="150" t="s">
        <v>177</v>
      </c>
    </row>
    <row r="490" spans="2:51" s="15" customFormat="1" ht="11.25">
      <c r="B490" s="169"/>
      <c r="D490" s="142" t="s">
        <v>193</v>
      </c>
      <c r="E490" s="170" t="s">
        <v>3</v>
      </c>
      <c r="F490" s="171" t="s">
        <v>201</v>
      </c>
      <c r="H490" s="172">
        <v>160.87</v>
      </c>
      <c r="I490" s="173"/>
      <c r="L490" s="169"/>
      <c r="M490" s="174"/>
      <c r="T490" s="175"/>
      <c r="AT490" s="170" t="s">
        <v>193</v>
      </c>
      <c r="AU490" s="170" t="s">
        <v>87</v>
      </c>
      <c r="AV490" s="15" t="s">
        <v>185</v>
      </c>
      <c r="AW490" s="15" t="s">
        <v>36</v>
      </c>
      <c r="AX490" s="15" t="s">
        <v>85</v>
      </c>
      <c r="AY490" s="170" t="s">
        <v>177</v>
      </c>
    </row>
    <row r="491" spans="2:65" s="1" customFormat="1" ht="16.5" customHeight="1">
      <c r="B491" s="128"/>
      <c r="C491" s="179" t="s">
        <v>2690</v>
      </c>
      <c r="D491" s="179" t="s">
        <v>484</v>
      </c>
      <c r="E491" s="180" t="s">
        <v>3495</v>
      </c>
      <c r="F491" s="181" t="s">
        <v>3496</v>
      </c>
      <c r="G491" s="182" t="s">
        <v>476</v>
      </c>
      <c r="H491" s="183">
        <v>164.087</v>
      </c>
      <c r="I491" s="184"/>
      <c r="J491" s="185">
        <f>ROUND(I491*H491,2)</f>
        <v>0</v>
      </c>
      <c r="K491" s="181" t="s">
        <v>184</v>
      </c>
      <c r="L491" s="186"/>
      <c r="M491" s="187" t="s">
        <v>3</v>
      </c>
      <c r="N491" s="188" t="s">
        <v>48</v>
      </c>
      <c r="P491" s="138">
        <f>O491*H491</f>
        <v>0</v>
      </c>
      <c r="Q491" s="138">
        <v>0.00035</v>
      </c>
      <c r="R491" s="138">
        <f>Q491*H491</f>
        <v>0.057430449999999994</v>
      </c>
      <c r="S491" s="138">
        <v>0</v>
      </c>
      <c r="T491" s="139">
        <f>S491*H491</f>
        <v>0</v>
      </c>
      <c r="AR491" s="140" t="s">
        <v>537</v>
      </c>
      <c r="AT491" s="140" t="s">
        <v>484</v>
      </c>
      <c r="AU491" s="140" t="s">
        <v>87</v>
      </c>
      <c r="AY491" s="18" t="s">
        <v>177</v>
      </c>
      <c r="BE491" s="141">
        <f>IF(N491="základní",J491,0)</f>
        <v>0</v>
      </c>
      <c r="BF491" s="141">
        <f>IF(N491="snížená",J491,0)</f>
        <v>0</v>
      </c>
      <c r="BG491" s="141">
        <f>IF(N491="zákl. přenesená",J491,0)</f>
        <v>0</v>
      </c>
      <c r="BH491" s="141">
        <f>IF(N491="sníž. přenesená",J491,0)</f>
        <v>0</v>
      </c>
      <c r="BI491" s="141">
        <f>IF(N491="nulová",J491,0)</f>
        <v>0</v>
      </c>
      <c r="BJ491" s="18" t="s">
        <v>85</v>
      </c>
      <c r="BK491" s="141">
        <f>ROUND(I491*H491,2)</f>
        <v>0</v>
      </c>
      <c r="BL491" s="18" t="s">
        <v>237</v>
      </c>
      <c r="BM491" s="140" t="s">
        <v>3497</v>
      </c>
    </row>
    <row r="492" spans="2:47" s="1" customFormat="1" ht="11.25">
      <c r="B492" s="33"/>
      <c r="D492" s="142" t="s">
        <v>187</v>
      </c>
      <c r="F492" s="143" t="s">
        <v>3496</v>
      </c>
      <c r="I492" s="144"/>
      <c r="L492" s="33"/>
      <c r="M492" s="145"/>
      <c r="T492" s="54"/>
      <c r="AT492" s="18" t="s">
        <v>187</v>
      </c>
      <c r="AU492" s="18" t="s">
        <v>87</v>
      </c>
    </row>
    <row r="493" spans="2:51" s="12" customFormat="1" ht="11.25">
      <c r="B493" s="149"/>
      <c r="D493" s="142" t="s">
        <v>193</v>
      </c>
      <c r="F493" s="151" t="s">
        <v>3498</v>
      </c>
      <c r="H493" s="152">
        <v>164.087</v>
      </c>
      <c r="I493" s="153"/>
      <c r="L493" s="149"/>
      <c r="M493" s="154"/>
      <c r="T493" s="155"/>
      <c r="AT493" s="150" t="s">
        <v>193</v>
      </c>
      <c r="AU493" s="150" t="s">
        <v>87</v>
      </c>
      <c r="AV493" s="12" t="s">
        <v>87</v>
      </c>
      <c r="AW493" s="12" t="s">
        <v>4</v>
      </c>
      <c r="AX493" s="12" t="s">
        <v>85</v>
      </c>
      <c r="AY493" s="150" t="s">
        <v>177</v>
      </c>
    </row>
    <row r="494" spans="2:65" s="1" customFormat="1" ht="24.2" customHeight="1">
      <c r="B494" s="128"/>
      <c r="C494" s="129" t="s">
        <v>2692</v>
      </c>
      <c r="D494" s="129" t="s">
        <v>180</v>
      </c>
      <c r="E494" s="130" t="s">
        <v>3499</v>
      </c>
      <c r="F494" s="131" t="s">
        <v>3500</v>
      </c>
      <c r="G494" s="132" t="s">
        <v>332</v>
      </c>
      <c r="H494" s="133">
        <v>389.4</v>
      </c>
      <c r="I494" s="134"/>
      <c r="J494" s="135">
        <f>ROUND(I494*H494,2)</f>
        <v>0</v>
      </c>
      <c r="K494" s="131" t="s">
        <v>184</v>
      </c>
      <c r="L494" s="33"/>
      <c r="M494" s="136" t="s">
        <v>3</v>
      </c>
      <c r="N494" s="137" t="s">
        <v>48</v>
      </c>
      <c r="P494" s="138">
        <f>O494*H494</f>
        <v>0</v>
      </c>
      <c r="Q494" s="138">
        <v>0</v>
      </c>
      <c r="R494" s="138">
        <f>Q494*H494</f>
        <v>0</v>
      </c>
      <c r="S494" s="138">
        <v>0</v>
      </c>
      <c r="T494" s="139">
        <f>S494*H494</f>
        <v>0</v>
      </c>
      <c r="AR494" s="140" t="s">
        <v>237</v>
      </c>
      <c r="AT494" s="140" t="s">
        <v>180</v>
      </c>
      <c r="AU494" s="140" t="s">
        <v>87</v>
      </c>
      <c r="AY494" s="18" t="s">
        <v>177</v>
      </c>
      <c r="BE494" s="141">
        <f>IF(N494="základní",J494,0)</f>
        <v>0</v>
      </c>
      <c r="BF494" s="141">
        <f>IF(N494="snížená",J494,0)</f>
        <v>0</v>
      </c>
      <c r="BG494" s="141">
        <f>IF(N494="zákl. přenesená",J494,0)</f>
        <v>0</v>
      </c>
      <c r="BH494" s="141">
        <f>IF(N494="sníž. přenesená",J494,0)</f>
        <v>0</v>
      </c>
      <c r="BI494" s="141">
        <f>IF(N494="nulová",J494,0)</f>
        <v>0</v>
      </c>
      <c r="BJ494" s="18" t="s">
        <v>85</v>
      </c>
      <c r="BK494" s="141">
        <f>ROUND(I494*H494,2)</f>
        <v>0</v>
      </c>
      <c r="BL494" s="18" t="s">
        <v>237</v>
      </c>
      <c r="BM494" s="140" t="s">
        <v>3501</v>
      </c>
    </row>
    <row r="495" spans="2:47" s="1" customFormat="1" ht="19.5">
      <c r="B495" s="33"/>
      <c r="D495" s="142" t="s">
        <v>187</v>
      </c>
      <c r="F495" s="143" t="s">
        <v>3502</v>
      </c>
      <c r="I495" s="144"/>
      <c r="L495" s="33"/>
      <c r="M495" s="145"/>
      <c r="T495" s="54"/>
      <c r="AT495" s="18" t="s">
        <v>187</v>
      </c>
      <c r="AU495" s="18" t="s">
        <v>87</v>
      </c>
    </row>
    <row r="496" spans="2:47" s="1" customFormat="1" ht="11.25">
      <c r="B496" s="33"/>
      <c r="D496" s="146" t="s">
        <v>189</v>
      </c>
      <c r="F496" s="147" t="s">
        <v>3503</v>
      </c>
      <c r="I496" s="144"/>
      <c r="L496" s="33"/>
      <c r="M496" s="145"/>
      <c r="T496" s="54"/>
      <c r="AT496" s="18" t="s">
        <v>189</v>
      </c>
      <c r="AU496" s="18" t="s">
        <v>87</v>
      </c>
    </row>
    <row r="497" spans="2:47" s="1" customFormat="1" ht="48.75">
      <c r="B497" s="33"/>
      <c r="D497" s="142" t="s">
        <v>191</v>
      </c>
      <c r="F497" s="148" t="s">
        <v>3504</v>
      </c>
      <c r="I497" s="144"/>
      <c r="L497" s="33"/>
      <c r="M497" s="145"/>
      <c r="T497" s="54"/>
      <c r="AT497" s="18" t="s">
        <v>191</v>
      </c>
      <c r="AU497" s="18" t="s">
        <v>87</v>
      </c>
    </row>
    <row r="498" spans="2:65" s="1" customFormat="1" ht="24.2" customHeight="1">
      <c r="B498" s="128"/>
      <c r="C498" s="129" t="s">
        <v>2694</v>
      </c>
      <c r="D498" s="129" t="s">
        <v>180</v>
      </c>
      <c r="E498" s="130" t="s">
        <v>3505</v>
      </c>
      <c r="F498" s="131" t="s">
        <v>3506</v>
      </c>
      <c r="G498" s="132" t="s">
        <v>183</v>
      </c>
      <c r="H498" s="133">
        <v>3.439</v>
      </c>
      <c r="I498" s="134"/>
      <c r="J498" s="135">
        <f>ROUND(I498*H498,2)</f>
        <v>0</v>
      </c>
      <c r="K498" s="131" t="s">
        <v>184</v>
      </c>
      <c r="L498" s="33"/>
      <c r="M498" s="136" t="s">
        <v>3</v>
      </c>
      <c r="N498" s="137" t="s">
        <v>48</v>
      </c>
      <c r="P498" s="138">
        <f>O498*H498</f>
        <v>0</v>
      </c>
      <c r="Q498" s="138">
        <v>0</v>
      </c>
      <c r="R498" s="138">
        <f>Q498*H498</f>
        <v>0</v>
      </c>
      <c r="S498" s="138">
        <v>0</v>
      </c>
      <c r="T498" s="139">
        <f>S498*H498</f>
        <v>0</v>
      </c>
      <c r="AR498" s="140" t="s">
        <v>237</v>
      </c>
      <c r="AT498" s="140" t="s">
        <v>180</v>
      </c>
      <c r="AU498" s="140" t="s">
        <v>87</v>
      </c>
      <c r="AY498" s="18" t="s">
        <v>177</v>
      </c>
      <c r="BE498" s="141">
        <f>IF(N498="základní",J498,0)</f>
        <v>0</v>
      </c>
      <c r="BF498" s="141">
        <f>IF(N498="snížená",J498,0)</f>
        <v>0</v>
      </c>
      <c r="BG498" s="141">
        <f>IF(N498="zákl. přenesená",J498,0)</f>
        <v>0</v>
      </c>
      <c r="BH498" s="141">
        <f>IF(N498="sníž. přenesená",J498,0)</f>
        <v>0</v>
      </c>
      <c r="BI498" s="141">
        <f>IF(N498="nulová",J498,0)</f>
        <v>0</v>
      </c>
      <c r="BJ498" s="18" t="s">
        <v>85</v>
      </c>
      <c r="BK498" s="141">
        <f>ROUND(I498*H498,2)</f>
        <v>0</v>
      </c>
      <c r="BL498" s="18" t="s">
        <v>237</v>
      </c>
      <c r="BM498" s="140" t="s">
        <v>3507</v>
      </c>
    </row>
    <row r="499" spans="2:47" s="1" customFormat="1" ht="29.25">
      <c r="B499" s="33"/>
      <c r="D499" s="142" t="s">
        <v>187</v>
      </c>
      <c r="F499" s="143" t="s">
        <v>3508</v>
      </c>
      <c r="I499" s="144"/>
      <c r="L499" s="33"/>
      <c r="M499" s="145"/>
      <c r="T499" s="54"/>
      <c r="AT499" s="18" t="s">
        <v>187</v>
      </c>
      <c r="AU499" s="18" t="s">
        <v>87</v>
      </c>
    </row>
    <row r="500" spans="2:47" s="1" customFormat="1" ht="11.25">
      <c r="B500" s="33"/>
      <c r="D500" s="146" t="s">
        <v>189</v>
      </c>
      <c r="F500" s="147" t="s">
        <v>3509</v>
      </c>
      <c r="I500" s="144"/>
      <c r="L500" s="33"/>
      <c r="M500" s="145"/>
      <c r="T500" s="54"/>
      <c r="AT500" s="18" t="s">
        <v>189</v>
      </c>
      <c r="AU500" s="18" t="s">
        <v>87</v>
      </c>
    </row>
    <row r="501" spans="2:47" s="1" customFormat="1" ht="126.75">
      <c r="B501" s="33"/>
      <c r="D501" s="142" t="s">
        <v>191</v>
      </c>
      <c r="F501" s="148" t="s">
        <v>2294</v>
      </c>
      <c r="I501" s="144"/>
      <c r="L501" s="33"/>
      <c r="M501" s="145"/>
      <c r="T501" s="54"/>
      <c r="AT501" s="18" t="s">
        <v>191</v>
      </c>
      <c r="AU501" s="18" t="s">
        <v>87</v>
      </c>
    </row>
    <row r="502" spans="2:65" s="1" customFormat="1" ht="24.2" customHeight="1">
      <c r="B502" s="128"/>
      <c r="C502" s="129" t="s">
        <v>2701</v>
      </c>
      <c r="D502" s="129" t="s">
        <v>180</v>
      </c>
      <c r="E502" s="130" t="s">
        <v>3510</v>
      </c>
      <c r="F502" s="131" t="s">
        <v>3511</v>
      </c>
      <c r="G502" s="132" t="s">
        <v>183</v>
      </c>
      <c r="H502" s="133">
        <v>3.439</v>
      </c>
      <c r="I502" s="134"/>
      <c r="J502" s="135">
        <f>ROUND(I502*H502,2)</f>
        <v>0</v>
      </c>
      <c r="K502" s="131" t="s">
        <v>184</v>
      </c>
      <c r="L502" s="33"/>
      <c r="M502" s="136" t="s">
        <v>3</v>
      </c>
      <c r="N502" s="137" t="s">
        <v>48</v>
      </c>
      <c r="P502" s="138">
        <f>O502*H502</f>
        <v>0</v>
      </c>
      <c r="Q502" s="138">
        <v>0</v>
      </c>
      <c r="R502" s="138">
        <f>Q502*H502</f>
        <v>0</v>
      </c>
      <c r="S502" s="138">
        <v>0</v>
      </c>
      <c r="T502" s="139">
        <f>S502*H502</f>
        <v>0</v>
      </c>
      <c r="AR502" s="140" t="s">
        <v>237</v>
      </c>
      <c r="AT502" s="140" t="s">
        <v>180</v>
      </c>
      <c r="AU502" s="140" t="s">
        <v>87</v>
      </c>
      <c r="AY502" s="18" t="s">
        <v>177</v>
      </c>
      <c r="BE502" s="141">
        <f>IF(N502="základní",J502,0)</f>
        <v>0</v>
      </c>
      <c r="BF502" s="141">
        <f>IF(N502="snížená",J502,0)</f>
        <v>0</v>
      </c>
      <c r="BG502" s="141">
        <f>IF(N502="zákl. přenesená",J502,0)</f>
        <v>0</v>
      </c>
      <c r="BH502" s="141">
        <f>IF(N502="sníž. přenesená",J502,0)</f>
        <v>0</v>
      </c>
      <c r="BI502" s="141">
        <f>IF(N502="nulová",J502,0)</f>
        <v>0</v>
      </c>
      <c r="BJ502" s="18" t="s">
        <v>85</v>
      </c>
      <c r="BK502" s="141">
        <f>ROUND(I502*H502,2)</f>
        <v>0</v>
      </c>
      <c r="BL502" s="18" t="s">
        <v>237</v>
      </c>
      <c r="BM502" s="140" t="s">
        <v>3512</v>
      </c>
    </row>
    <row r="503" spans="2:47" s="1" customFormat="1" ht="29.25">
      <c r="B503" s="33"/>
      <c r="D503" s="142" t="s">
        <v>187</v>
      </c>
      <c r="F503" s="143" t="s">
        <v>3513</v>
      </c>
      <c r="I503" s="144"/>
      <c r="L503" s="33"/>
      <c r="M503" s="145"/>
      <c r="T503" s="54"/>
      <c r="AT503" s="18" t="s">
        <v>187</v>
      </c>
      <c r="AU503" s="18" t="s">
        <v>87</v>
      </c>
    </row>
    <row r="504" spans="2:47" s="1" customFormat="1" ht="11.25">
      <c r="B504" s="33"/>
      <c r="D504" s="146" t="s">
        <v>189</v>
      </c>
      <c r="F504" s="147" t="s">
        <v>3514</v>
      </c>
      <c r="I504" s="144"/>
      <c r="L504" s="33"/>
      <c r="M504" s="145"/>
      <c r="T504" s="54"/>
      <c r="AT504" s="18" t="s">
        <v>189</v>
      </c>
      <c r="AU504" s="18" t="s">
        <v>87</v>
      </c>
    </row>
    <row r="505" spans="2:47" s="1" customFormat="1" ht="126.75">
      <c r="B505" s="33"/>
      <c r="D505" s="142" t="s">
        <v>191</v>
      </c>
      <c r="F505" s="148" t="s">
        <v>2294</v>
      </c>
      <c r="I505" s="144"/>
      <c r="L505" s="33"/>
      <c r="M505" s="145"/>
      <c r="T505" s="54"/>
      <c r="AT505" s="18" t="s">
        <v>191</v>
      </c>
      <c r="AU505" s="18" t="s">
        <v>87</v>
      </c>
    </row>
    <row r="506" spans="2:63" s="11" customFormat="1" ht="22.9" customHeight="1">
      <c r="B506" s="116"/>
      <c r="D506" s="117" t="s">
        <v>76</v>
      </c>
      <c r="E506" s="126" t="s">
        <v>3515</v>
      </c>
      <c r="F506" s="126" t="s">
        <v>3516</v>
      </c>
      <c r="I506" s="119"/>
      <c r="J506" s="127">
        <f>BK506</f>
        <v>0</v>
      </c>
      <c r="L506" s="116"/>
      <c r="M506" s="121"/>
      <c r="P506" s="122">
        <f>SUM(P507:P590)</f>
        <v>0</v>
      </c>
      <c r="R506" s="122">
        <f>SUM(R507:R590)</f>
        <v>1.44779992</v>
      </c>
      <c r="T506" s="123">
        <f>SUM(T507:T590)</f>
        <v>0</v>
      </c>
      <c r="AR506" s="117" t="s">
        <v>87</v>
      </c>
      <c r="AT506" s="124" t="s">
        <v>76</v>
      </c>
      <c r="AU506" s="124" t="s">
        <v>85</v>
      </c>
      <c r="AY506" s="117" t="s">
        <v>177</v>
      </c>
      <c r="BK506" s="125">
        <f>SUM(BK507:BK590)</f>
        <v>0</v>
      </c>
    </row>
    <row r="507" spans="2:65" s="1" customFormat="1" ht="16.5" customHeight="1">
      <c r="B507" s="128"/>
      <c r="C507" s="129" t="s">
        <v>2706</v>
      </c>
      <c r="D507" s="129" t="s">
        <v>180</v>
      </c>
      <c r="E507" s="130" t="s">
        <v>3517</v>
      </c>
      <c r="F507" s="131" t="s">
        <v>3518</v>
      </c>
      <c r="G507" s="132" t="s">
        <v>332</v>
      </c>
      <c r="H507" s="133">
        <v>57.896</v>
      </c>
      <c r="I507" s="134"/>
      <c r="J507" s="135">
        <f>ROUND(I507*H507,2)</f>
        <v>0</v>
      </c>
      <c r="K507" s="131" t="s">
        <v>184</v>
      </c>
      <c r="L507" s="33"/>
      <c r="M507" s="136" t="s">
        <v>3</v>
      </c>
      <c r="N507" s="137" t="s">
        <v>48</v>
      </c>
      <c r="P507" s="138">
        <f>O507*H507</f>
        <v>0</v>
      </c>
      <c r="Q507" s="138">
        <v>0</v>
      </c>
      <c r="R507" s="138">
        <f>Q507*H507</f>
        <v>0</v>
      </c>
      <c r="S507" s="138">
        <v>0</v>
      </c>
      <c r="T507" s="139">
        <f>S507*H507</f>
        <v>0</v>
      </c>
      <c r="AR507" s="140" t="s">
        <v>237</v>
      </c>
      <c r="AT507" s="140" t="s">
        <v>180</v>
      </c>
      <c r="AU507" s="140" t="s">
        <v>87</v>
      </c>
      <c r="AY507" s="18" t="s">
        <v>177</v>
      </c>
      <c r="BE507" s="141">
        <f>IF(N507="základní",J507,0)</f>
        <v>0</v>
      </c>
      <c r="BF507" s="141">
        <f>IF(N507="snížená",J507,0)</f>
        <v>0</v>
      </c>
      <c r="BG507" s="141">
        <f>IF(N507="zákl. přenesená",J507,0)</f>
        <v>0</v>
      </c>
      <c r="BH507" s="141">
        <f>IF(N507="sníž. přenesená",J507,0)</f>
        <v>0</v>
      </c>
      <c r="BI507" s="141">
        <f>IF(N507="nulová",J507,0)</f>
        <v>0</v>
      </c>
      <c r="BJ507" s="18" t="s">
        <v>85</v>
      </c>
      <c r="BK507" s="141">
        <f>ROUND(I507*H507,2)</f>
        <v>0</v>
      </c>
      <c r="BL507" s="18" t="s">
        <v>237</v>
      </c>
      <c r="BM507" s="140" t="s">
        <v>3519</v>
      </c>
    </row>
    <row r="508" spans="2:47" s="1" customFormat="1" ht="19.5">
      <c r="B508" s="33"/>
      <c r="D508" s="142" t="s">
        <v>187</v>
      </c>
      <c r="F508" s="143" t="s">
        <v>3520</v>
      </c>
      <c r="I508" s="144"/>
      <c r="L508" s="33"/>
      <c r="M508" s="145"/>
      <c r="T508" s="54"/>
      <c r="AT508" s="18" t="s">
        <v>187</v>
      </c>
      <c r="AU508" s="18" t="s">
        <v>87</v>
      </c>
    </row>
    <row r="509" spans="2:47" s="1" customFormat="1" ht="11.25">
      <c r="B509" s="33"/>
      <c r="D509" s="146" t="s">
        <v>189</v>
      </c>
      <c r="F509" s="147" t="s">
        <v>3521</v>
      </c>
      <c r="I509" s="144"/>
      <c r="L509" s="33"/>
      <c r="M509" s="145"/>
      <c r="T509" s="54"/>
      <c r="AT509" s="18" t="s">
        <v>189</v>
      </c>
      <c r="AU509" s="18" t="s">
        <v>87</v>
      </c>
    </row>
    <row r="510" spans="2:47" s="1" customFormat="1" ht="107.25">
      <c r="B510" s="33"/>
      <c r="D510" s="142" t="s">
        <v>191</v>
      </c>
      <c r="F510" s="148" t="s">
        <v>3522</v>
      </c>
      <c r="I510" s="144"/>
      <c r="L510" s="33"/>
      <c r="M510" s="145"/>
      <c r="T510" s="54"/>
      <c r="AT510" s="18" t="s">
        <v>191</v>
      </c>
      <c r="AU510" s="18" t="s">
        <v>87</v>
      </c>
    </row>
    <row r="511" spans="2:65" s="1" customFormat="1" ht="16.5" customHeight="1">
      <c r="B511" s="128"/>
      <c r="C511" s="129" t="s">
        <v>2708</v>
      </c>
      <c r="D511" s="129" t="s">
        <v>180</v>
      </c>
      <c r="E511" s="130" t="s">
        <v>3523</v>
      </c>
      <c r="F511" s="131" t="s">
        <v>3524</v>
      </c>
      <c r="G511" s="132" t="s">
        <v>332</v>
      </c>
      <c r="H511" s="133">
        <v>57.896</v>
      </c>
      <c r="I511" s="134"/>
      <c r="J511" s="135">
        <f>ROUND(I511*H511,2)</f>
        <v>0</v>
      </c>
      <c r="K511" s="131" t="s">
        <v>184</v>
      </c>
      <c r="L511" s="33"/>
      <c r="M511" s="136" t="s">
        <v>3</v>
      </c>
      <c r="N511" s="137" t="s">
        <v>48</v>
      </c>
      <c r="P511" s="138">
        <f>O511*H511</f>
        <v>0</v>
      </c>
      <c r="Q511" s="138">
        <v>0.0003</v>
      </c>
      <c r="R511" s="138">
        <f>Q511*H511</f>
        <v>0.0173688</v>
      </c>
      <c r="S511" s="138">
        <v>0</v>
      </c>
      <c r="T511" s="139">
        <f>S511*H511</f>
        <v>0</v>
      </c>
      <c r="AR511" s="140" t="s">
        <v>237</v>
      </c>
      <c r="AT511" s="140" t="s">
        <v>180</v>
      </c>
      <c r="AU511" s="140" t="s">
        <v>87</v>
      </c>
      <c r="AY511" s="18" t="s">
        <v>177</v>
      </c>
      <c r="BE511" s="141">
        <f>IF(N511="základní",J511,0)</f>
        <v>0</v>
      </c>
      <c r="BF511" s="141">
        <f>IF(N511="snížená",J511,0)</f>
        <v>0</v>
      </c>
      <c r="BG511" s="141">
        <f>IF(N511="zákl. přenesená",J511,0)</f>
        <v>0</v>
      </c>
      <c r="BH511" s="141">
        <f>IF(N511="sníž. přenesená",J511,0)</f>
        <v>0</v>
      </c>
      <c r="BI511" s="141">
        <f>IF(N511="nulová",J511,0)</f>
        <v>0</v>
      </c>
      <c r="BJ511" s="18" t="s">
        <v>85</v>
      </c>
      <c r="BK511" s="141">
        <f>ROUND(I511*H511,2)</f>
        <v>0</v>
      </c>
      <c r="BL511" s="18" t="s">
        <v>237</v>
      </c>
      <c r="BM511" s="140" t="s">
        <v>3525</v>
      </c>
    </row>
    <row r="512" spans="2:47" s="1" customFormat="1" ht="19.5">
      <c r="B512" s="33"/>
      <c r="D512" s="142" t="s">
        <v>187</v>
      </c>
      <c r="F512" s="143" t="s">
        <v>3526</v>
      </c>
      <c r="I512" s="144"/>
      <c r="L512" s="33"/>
      <c r="M512" s="145"/>
      <c r="T512" s="54"/>
      <c r="AT512" s="18" t="s">
        <v>187</v>
      </c>
      <c r="AU512" s="18" t="s">
        <v>87</v>
      </c>
    </row>
    <row r="513" spans="2:47" s="1" customFormat="1" ht="11.25">
      <c r="B513" s="33"/>
      <c r="D513" s="146" t="s">
        <v>189</v>
      </c>
      <c r="F513" s="147" t="s">
        <v>3527</v>
      </c>
      <c r="I513" s="144"/>
      <c r="L513" s="33"/>
      <c r="M513" s="145"/>
      <c r="T513" s="54"/>
      <c r="AT513" s="18" t="s">
        <v>189</v>
      </c>
      <c r="AU513" s="18" t="s">
        <v>87</v>
      </c>
    </row>
    <row r="514" spans="2:47" s="1" customFormat="1" ht="107.25">
      <c r="B514" s="33"/>
      <c r="D514" s="142" t="s">
        <v>191</v>
      </c>
      <c r="F514" s="148" t="s">
        <v>3522</v>
      </c>
      <c r="I514" s="144"/>
      <c r="L514" s="33"/>
      <c r="M514" s="145"/>
      <c r="T514" s="54"/>
      <c r="AT514" s="18" t="s">
        <v>191</v>
      </c>
      <c r="AU514" s="18" t="s">
        <v>87</v>
      </c>
    </row>
    <row r="515" spans="2:65" s="1" customFormat="1" ht="33" customHeight="1">
      <c r="B515" s="128"/>
      <c r="C515" s="129" t="s">
        <v>2710</v>
      </c>
      <c r="D515" s="129" t="s">
        <v>180</v>
      </c>
      <c r="E515" s="130" t="s">
        <v>3528</v>
      </c>
      <c r="F515" s="131" t="s">
        <v>3529</v>
      </c>
      <c r="G515" s="132" t="s">
        <v>332</v>
      </c>
      <c r="H515" s="133">
        <v>72.896</v>
      </c>
      <c r="I515" s="134"/>
      <c r="J515" s="135">
        <f>ROUND(I515*H515,2)</f>
        <v>0</v>
      </c>
      <c r="K515" s="131" t="s">
        <v>184</v>
      </c>
      <c r="L515" s="33"/>
      <c r="M515" s="136" t="s">
        <v>3</v>
      </c>
      <c r="N515" s="137" t="s">
        <v>48</v>
      </c>
      <c r="P515" s="138">
        <f>O515*H515</f>
        <v>0</v>
      </c>
      <c r="Q515" s="138">
        <v>0.006</v>
      </c>
      <c r="R515" s="138">
        <f>Q515*H515</f>
        <v>0.437376</v>
      </c>
      <c r="S515" s="138">
        <v>0</v>
      </c>
      <c r="T515" s="139">
        <f>S515*H515</f>
        <v>0</v>
      </c>
      <c r="AR515" s="140" t="s">
        <v>237</v>
      </c>
      <c r="AT515" s="140" t="s">
        <v>180</v>
      </c>
      <c r="AU515" s="140" t="s">
        <v>87</v>
      </c>
      <c r="AY515" s="18" t="s">
        <v>177</v>
      </c>
      <c r="BE515" s="141">
        <f>IF(N515="základní",J515,0)</f>
        <v>0</v>
      </c>
      <c r="BF515" s="141">
        <f>IF(N515="snížená",J515,0)</f>
        <v>0</v>
      </c>
      <c r="BG515" s="141">
        <f>IF(N515="zákl. přenesená",J515,0)</f>
        <v>0</v>
      </c>
      <c r="BH515" s="141">
        <f>IF(N515="sníž. přenesená",J515,0)</f>
        <v>0</v>
      </c>
      <c r="BI515" s="141">
        <f>IF(N515="nulová",J515,0)</f>
        <v>0</v>
      </c>
      <c r="BJ515" s="18" t="s">
        <v>85</v>
      </c>
      <c r="BK515" s="141">
        <f>ROUND(I515*H515,2)</f>
        <v>0</v>
      </c>
      <c r="BL515" s="18" t="s">
        <v>237</v>
      </c>
      <c r="BM515" s="140" t="s">
        <v>3530</v>
      </c>
    </row>
    <row r="516" spans="2:47" s="1" customFormat="1" ht="19.5">
      <c r="B516" s="33"/>
      <c r="D516" s="142" t="s">
        <v>187</v>
      </c>
      <c r="F516" s="143" t="s">
        <v>3531</v>
      </c>
      <c r="I516" s="144"/>
      <c r="L516" s="33"/>
      <c r="M516" s="145"/>
      <c r="T516" s="54"/>
      <c r="AT516" s="18" t="s">
        <v>187</v>
      </c>
      <c r="AU516" s="18" t="s">
        <v>87</v>
      </c>
    </row>
    <row r="517" spans="2:47" s="1" customFormat="1" ht="11.25">
      <c r="B517" s="33"/>
      <c r="D517" s="146" t="s">
        <v>189</v>
      </c>
      <c r="F517" s="147" t="s">
        <v>3532</v>
      </c>
      <c r="I517" s="144"/>
      <c r="L517" s="33"/>
      <c r="M517" s="145"/>
      <c r="T517" s="54"/>
      <c r="AT517" s="18" t="s">
        <v>189</v>
      </c>
      <c r="AU517" s="18" t="s">
        <v>87</v>
      </c>
    </row>
    <row r="518" spans="2:47" s="1" customFormat="1" ht="29.25">
      <c r="B518" s="33"/>
      <c r="D518" s="142" t="s">
        <v>191</v>
      </c>
      <c r="F518" s="148" t="s">
        <v>3533</v>
      </c>
      <c r="I518" s="144"/>
      <c r="L518" s="33"/>
      <c r="M518" s="145"/>
      <c r="T518" s="54"/>
      <c r="AT518" s="18" t="s">
        <v>191</v>
      </c>
      <c r="AU518" s="18" t="s">
        <v>87</v>
      </c>
    </row>
    <row r="519" spans="2:51" s="13" customFormat="1" ht="11.25">
      <c r="B519" s="156"/>
      <c r="D519" s="142" t="s">
        <v>193</v>
      </c>
      <c r="E519" s="157" t="s">
        <v>3</v>
      </c>
      <c r="F519" s="158" t="s">
        <v>929</v>
      </c>
      <c r="H519" s="157" t="s">
        <v>3</v>
      </c>
      <c r="I519" s="159"/>
      <c r="L519" s="156"/>
      <c r="M519" s="160"/>
      <c r="T519" s="161"/>
      <c r="AT519" s="157" t="s">
        <v>193</v>
      </c>
      <c r="AU519" s="157" t="s">
        <v>87</v>
      </c>
      <c r="AV519" s="13" t="s">
        <v>85</v>
      </c>
      <c r="AW519" s="13" t="s">
        <v>36</v>
      </c>
      <c r="AX519" s="13" t="s">
        <v>77</v>
      </c>
      <c r="AY519" s="157" t="s">
        <v>177</v>
      </c>
    </row>
    <row r="520" spans="2:51" s="12" customFormat="1" ht="11.25">
      <c r="B520" s="149"/>
      <c r="D520" s="142" t="s">
        <v>193</v>
      </c>
      <c r="E520" s="150" t="s">
        <v>3</v>
      </c>
      <c r="F520" s="151" t="s">
        <v>3534</v>
      </c>
      <c r="H520" s="152">
        <v>18.5</v>
      </c>
      <c r="I520" s="153"/>
      <c r="L520" s="149"/>
      <c r="M520" s="154"/>
      <c r="T520" s="155"/>
      <c r="AT520" s="150" t="s">
        <v>193</v>
      </c>
      <c r="AU520" s="150" t="s">
        <v>87</v>
      </c>
      <c r="AV520" s="12" t="s">
        <v>87</v>
      </c>
      <c r="AW520" s="12" t="s">
        <v>36</v>
      </c>
      <c r="AX520" s="12" t="s">
        <v>77</v>
      </c>
      <c r="AY520" s="150" t="s">
        <v>177</v>
      </c>
    </row>
    <row r="521" spans="2:51" s="12" customFormat="1" ht="11.25">
      <c r="B521" s="149"/>
      <c r="D521" s="142" t="s">
        <v>193</v>
      </c>
      <c r="E521" s="150" t="s">
        <v>3</v>
      </c>
      <c r="F521" s="151" t="s">
        <v>3535</v>
      </c>
      <c r="H521" s="152">
        <v>9.936</v>
      </c>
      <c r="I521" s="153"/>
      <c r="L521" s="149"/>
      <c r="M521" s="154"/>
      <c r="T521" s="155"/>
      <c r="AT521" s="150" t="s">
        <v>193</v>
      </c>
      <c r="AU521" s="150" t="s">
        <v>87</v>
      </c>
      <c r="AV521" s="12" t="s">
        <v>87</v>
      </c>
      <c r="AW521" s="12" t="s">
        <v>36</v>
      </c>
      <c r="AX521" s="12" t="s">
        <v>77</v>
      </c>
      <c r="AY521" s="150" t="s">
        <v>177</v>
      </c>
    </row>
    <row r="522" spans="2:51" s="13" customFormat="1" ht="11.25">
      <c r="B522" s="156"/>
      <c r="D522" s="142" t="s">
        <v>193</v>
      </c>
      <c r="E522" s="157" t="s">
        <v>3</v>
      </c>
      <c r="F522" s="158" t="s">
        <v>937</v>
      </c>
      <c r="H522" s="157" t="s">
        <v>3</v>
      </c>
      <c r="I522" s="159"/>
      <c r="L522" s="156"/>
      <c r="M522" s="160"/>
      <c r="T522" s="161"/>
      <c r="AT522" s="157" t="s">
        <v>193</v>
      </c>
      <c r="AU522" s="157" t="s">
        <v>87</v>
      </c>
      <c r="AV522" s="13" t="s">
        <v>85</v>
      </c>
      <c r="AW522" s="13" t="s">
        <v>36</v>
      </c>
      <c r="AX522" s="13" t="s">
        <v>77</v>
      </c>
      <c r="AY522" s="157" t="s">
        <v>177</v>
      </c>
    </row>
    <row r="523" spans="2:51" s="12" customFormat="1" ht="11.25">
      <c r="B523" s="149"/>
      <c r="D523" s="142" t="s">
        <v>193</v>
      </c>
      <c r="E523" s="150" t="s">
        <v>3</v>
      </c>
      <c r="F523" s="151" t="s">
        <v>3536</v>
      </c>
      <c r="H523" s="152">
        <v>21</v>
      </c>
      <c r="I523" s="153"/>
      <c r="L523" s="149"/>
      <c r="M523" s="154"/>
      <c r="T523" s="155"/>
      <c r="AT523" s="150" t="s">
        <v>193</v>
      </c>
      <c r="AU523" s="150" t="s">
        <v>87</v>
      </c>
      <c r="AV523" s="12" t="s">
        <v>87</v>
      </c>
      <c r="AW523" s="12" t="s">
        <v>36</v>
      </c>
      <c r="AX523" s="12" t="s">
        <v>77</v>
      </c>
      <c r="AY523" s="150" t="s">
        <v>177</v>
      </c>
    </row>
    <row r="524" spans="2:51" s="12" customFormat="1" ht="11.25">
      <c r="B524" s="149"/>
      <c r="D524" s="142" t="s">
        <v>193</v>
      </c>
      <c r="E524" s="150" t="s">
        <v>3</v>
      </c>
      <c r="F524" s="151" t="s">
        <v>3537</v>
      </c>
      <c r="H524" s="152">
        <v>8.46</v>
      </c>
      <c r="I524" s="153"/>
      <c r="L524" s="149"/>
      <c r="M524" s="154"/>
      <c r="T524" s="155"/>
      <c r="AT524" s="150" t="s">
        <v>193</v>
      </c>
      <c r="AU524" s="150" t="s">
        <v>87</v>
      </c>
      <c r="AV524" s="12" t="s">
        <v>87</v>
      </c>
      <c r="AW524" s="12" t="s">
        <v>36</v>
      </c>
      <c r="AX524" s="12" t="s">
        <v>77</v>
      </c>
      <c r="AY524" s="150" t="s">
        <v>177</v>
      </c>
    </row>
    <row r="525" spans="2:51" s="13" customFormat="1" ht="11.25">
      <c r="B525" s="156"/>
      <c r="D525" s="142" t="s">
        <v>193</v>
      </c>
      <c r="E525" s="157" t="s">
        <v>3</v>
      </c>
      <c r="F525" s="158" t="s">
        <v>3538</v>
      </c>
      <c r="H525" s="157" t="s">
        <v>3</v>
      </c>
      <c r="I525" s="159"/>
      <c r="L525" s="156"/>
      <c r="M525" s="160"/>
      <c r="T525" s="161"/>
      <c r="AT525" s="157" t="s">
        <v>193</v>
      </c>
      <c r="AU525" s="157" t="s">
        <v>87</v>
      </c>
      <c r="AV525" s="13" t="s">
        <v>85</v>
      </c>
      <c r="AW525" s="13" t="s">
        <v>36</v>
      </c>
      <c r="AX525" s="13" t="s">
        <v>77</v>
      </c>
      <c r="AY525" s="157" t="s">
        <v>177</v>
      </c>
    </row>
    <row r="526" spans="2:51" s="12" customFormat="1" ht="11.25">
      <c r="B526" s="149"/>
      <c r="D526" s="142" t="s">
        <v>193</v>
      </c>
      <c r="E526" s="150" t="s">
        <v>3</v>
      </c>
      <c r="F526" s="151" t="s">
        <v>3539</v>
      </c>
      <c r="H526" s="152">
        <v>15</v>
      </c>
      <c r="I526" s="153"/>
      <c r="L526" s="149"/>
      <c r="M526" s="154"/>
      <c r="T526" s="155"/>
      <c r="AT526" s="150" t="s">
        <v>193</v>
      </c>
      <c r="AU526" s="150" t="s">
        <v>87</v>
      </c>
      <c r="AV526" s="12" t="s">
        <v>87</v>
      </c>
      <c r="AW526" s="12" t="s">
        <v>36</v>
      </c>
      <c r="AX526" s="12" t="s">
        <v>77</v>
      </c>
      <c r="AY526" s="150" t="s">
        <v>177</v>
      </c>
    </row>
    <row r="527" spans="2:51" s="15" customFormat="1" ht="11.25">
      <c r="B527" s="169"/>
      <c r="D527" s="142" t="s">
        <v>193</v>
      </c>
      <c r="E527" s="170" t="s">
        <v>3</v>
      </c>
      <c r="F527" s="171" t="s">
        <v>201</v>
      </c>
      <c r="H527" s="172">
        <v>72.896</v>
      </c>
      <c r="I527" s="173"/>
      <c r="L527" s="169"/>
      <c r="M527" s="174"/>
      <c r="T527" s="175"/>
      <c r="AT527" s="170" t="s">
        <v>193</v>
      </c>
      <c r="AU527" s="170" t="s">
        <v>87</v>
      </c>
      <c r="AV527" s="15" t="s">
        <v>185</v>
      </c>
      <c r="AW527" s="15" t="s">
        <v>36</v>
      </c>
      <c r="AX527" s="15" t="s">
        <v>85</v>
      </c>
      <c r="AY527" s="170" t="s">
        <v>177</v>
      </c>
    </row>
    <row r="528" spans="2:65" s="1" customFormat="1" ht="24.2" customHeight="1">
      <c r="B528" s="128"/>
      <c r="C528" s="179" t="s">
        <v>2719</v>
      </c>
      <c r="D528" s="179" t="s">
        <v>484</v>
      </c>
      <c r="E528" s="180" t="s">
        <v>3540</v>
      </c>
      <c r="F528" s="181" t="s">
        <v>3541</v>
      </c>
      <c r="G528" s="182" t="s">
        <v>332</v>
      </c>
      <c r="H528" s="183">
        <v>80.186</v>
      </c>
      <c r="I528" s="184"/>
      <c r="J528" s="185">
        <f>ROUND(I528*H528,2)</f>
        <v>0</v>
      </c>
      <c r="K528" s="181" t="s">
        <v>244</v>
      </c>
      <c r="L528" s="186"/>
      <c r="M528" s="187" t="s">
        <v>3</v>
      </c>
      <c r="N528" s="188" t="s">
        <v>48</v>
      </c>
      <c r="P528" s="138">
        <f>O528*H528</f>
        <v>0</v>
      </c>
      <c r="Q528" s="138">
        <v>0.0118</v>
      </c>
      <c r="R528" s="138">
        <f>Q528*H528</f>
        <v>0.9461948000000001</v>
      </c>
      <c r="S528" s="138">
        <v>0</v>
      </c>
      <c r="T528" s="139">
        <f>S528*H528</f>
        <v>0</v>
      </c>
      <c r="AR528" s="140" t="s">
        <v>537</v>
      </c>
      <c r="AT528" s="140" t="s">
        <v>484</v>
      </c>
      <c r="AU528" s="140" t="s">
        <v>87</v>
      </c>
      <c r="AY528" s="18" t="s">
        <v>177</v>
      </c>
      <c r="BE528" s="141">
        <f>IF(N528="základní",J528,0)</f>
        <v>0</v>
      </c>
      <c r="BF528" s="141">
        <f>IF(N528="snížená",J528,0)</f>
        <v>0</v>
      </c>
      <c r="BG528" s="141">
        <f>IF(N528="zákl. přenesená",J528,0)</f>
        <v>0</v>
      </c>
      <c r="BH528" s="141">
        <f>IF(N528="sníž. přenesená",J528,0)</f>
        <v>0</v>
      </c>
      <c r="BI528" s="141">
        <f>IF(N528="nulová",J528,0)</f>
        <v>0</v>
      </c>
      <c r="BJ528" s="18" t="s">
        <v>85</v>
      </c>
      <c r="BK528" s="141">
        <f>ROUND(I528*H528,2)</f>
        <v>0</v>
      </c>
      <c r="BL528" s="18" t="s">
        <v>237</v>
      </c>
      <c r="BM528" s="140" t="s">
        <v>3542</v>
      </c>
    </row>
    <row r="529" spans="2:47" s="1" customFormat="1" ht="11.25">
      <c r="B529" s="33"/>
      <c r="D529" s="142" t="s">
        <v>187</v>
      </c>
      <c r="F529" s="143" t="s">
        <v>3543</v>
      </c>
      <c r="I529" s="144"/>
      <c r="L529" s="33"/>
      <c r="M529" s="145"/>
      <c r="T529" s="54"/>
      <c r="AT529" s="18" t="s">
        <v>187</v>
      </c>
      <c r="AU529" s="18" t="s">
        <v>87</v>
      </c>
    </row>
    <row r="530" spans="2:51" s="12" customFormat="1" ht="11.25">
      <c r="B530" s="149"/>
      <c r="D530" s="142" t="s">
        <v>193</v>
      </c>
      <c r="F530" s="151" t="s">
        <v>3544</v>
      </c>
      <c r="H530" s="152">
        <v>80.186</v>
      </c>
      <c r="I530" s="153"/>
      <c r="L530" s="149"/>
      <c r="M530" s="154"/>
      <c r="T530" s="155"/>
      <c r="AT530" s="150" t="s">
        <v>193</v>
      </c>
      <c r="AU530" s="150" t="s">
        <v>87</v>
      </c>
      <c r="AV530" s="12" t="s">
        <v>87</v>
      </c>
      <c r="AW530" s="12" t="s">
        <v>4</v>
      </c>
      <c r="AX530" s="12" t="s">
        <v>85</v>
      </c>
      <c r="AY530" s="150" t="s">
        <v>177</v>
      </c>
    </row>
    <row r="531" spans="2:65" s="1" customFormat="1" ht="24.2" customHeight="1">
      <c r="B531" s="128"/>
      <c r="C531" s="129" t="s">
        <v>2724</v>
      </c>
      <c r="D531" s="129" t="s">
        <v>180</v>
      </c>
      <c r="E531" s="130" t="s">
        <v>3545</v>
      </c>
      <c r="F531" s="131" t="s">
        <v>3546</v>
      </c>
      <c r="G531" s="132" t="s">
        <v>332</v>
      </c>
      <c r="H531" s="133">
        <v>72.896</v>
      </c>
      <c r="I531" s="134"/>
      <c r="J531" s="135">
        <f>ROUND(I531*H531,2)</f>
        <v>0</v>
      </c>
      <c r="K531" s="131" t="s">
        <v>184</v>
      </c>
      <c r="L531" s="33"/>
      <c r="M531" s="136" t="s">
        <v>3</v>
      </c>
      <c r="N531" s="137" t="s">
        <v>48</v>
      </c>
      <c r="P531" s="138">
        <f>O531*H531</f>
        <v>0</v>
      </c>
      <c r="Q531" s="138">
        <v>0</v>
      </c>
      <c r="R531" s="138">
        <f>Q531*H531</f>
        <v>0</v>
      </c>
      <c r="S531" s="138">
        <v>0</v>
      </c>
      <c r="T531" s="139">
        <f>S531*H531</f>
        <v>0</v>
      </c>
      <c r="AR531" s="140" t="s">
        <v>237</v>
      </c>
      <c r="AT531" s="140" t="s">
        <v>180</v>
      </c>
      <c r="AU531" s="140" t="s">
        <v>87</v>
      </c>
      <c r="AY531" s="18" t="s">
        <v>177</v>
      </c>
      <c r="BE531" s="141">
        <f>IF(N531="základní",J531,0)</f>
        <v>0</v>
      </c>
      <c r="BF531" s="141">
        <f>IF(N531="snížená",J531,0)</f>
        <v>0</v>
      </c>
      <c r="BG531" s="141">
        <f>IF(N531="zákl. přenesená",J531,0)</f>
        <v>0</v>
      </c>
      <c r="BH531" s="141">
        <f>IF(N531="sníž. přenesená",J531,0)</f>
        <v>0</v>
      </c>
      <c r="BI531" s="141">
        <f>IF(N531="nulová",J531,0)</f>
        <v>0</v>
      </c>
      <c r="BJ531" s="18" t="s">
        <v>85</v>
      </c>
      <c r="BK531" s="141">
        <f>ROUND(I531*H531,2)</f>
        <v>0</v>
      </c>
      <c r="BL531" s="18" t="s">
        <v>237</v>
      </c>
      <c r="BM531" s="140" t="s">
        <v>3547</v>
      </c>
    </row>
    <row r="532" spans="2:47" s="1" customFormat="1" ht="19.5">
      <c r="B532" s="33"/>
      <c r="D532" s="142" t="s">
        <v>187</v>
      </c>
      <c r="F532" s="143" t="s">
        <v>3548</v>
      </c>
      <c r="I532" s="144"/>
      <c r="L532" s="33"/>
      <c r="M532" s="145"/>
      <c r="T532" s="54"/>
      <c r="AT532" s="18" t="s">
        <v>187</v>
      </c>
      <c r="AU532" s="18" t="s">
        <v>87</v>
      </c>
    </row>
    <row r="533" spans="2:47" s="1" customFormat="1" ht="11.25">
      <c r="B533" s="33"/>
      <c r="D533" s="146" t="s">
        <v>189</v>
      </c>
      <c r="F533" s="147" t="s">
        <v>3549</v>
      </c>
      <c r="I533" s="144"/>
      <c r="L533" s="33"/>
      <c r="M533" s="145"/>
      <c r="T533" s="54"/>
      <c r="AT533" s="18" t="s">
        <v>189</v>
      </c>
      <c r="AU533" s="18" t="s">
        <v>87</v>
      </c>
    </row>
    <row r="534" spans="2:47" s="1" customFormat="1" ht="29.25">
      <c r="B534" s="33"/>
      <c r="D534" s="142" t="s">
        <v>191</v>
      </c>
      <c r="F534" s="148" t="s">
        <v>3533</v>
      </c>
      <c r="I534" s="144"/>
      <c r="L534" s="33"/>
      <c r="M534" s="145"/>
      <c r="T534" s="54"/>
      <c r="AT534" s="18" t="s">
        <v>191</v>
      </c>
      <c r="AU534" s="18" t="s">
        <v>87</v>
      </c>
    </row>
    <row r="535" spans="2:65" s="1" customFormat="1" ht="24.2" customHeight="1">
      <c r="B535" s="128"/>
      <c r="C535" s="129" t="s">
        <v>2726</v>
      </c>
      <c r="D535" s="129" t="s">
        <v>180</v>
      </c>
      <c r="E535" s="130" t="s">
        <v>3550</v>
      </c>
      <c r="F535" s="131" t="s">
        <v>3551</v>
      </c>
      <c r="G535" s="132" t="s">
        <v>332</v>
      </c>
      <c r="H535" s="133">
        <v>72.896</v>
      </c>
      <c r="I535" s="134"/>
      <c r="J535" s="135">
        <f>ROUND(I535*H535,2)</f>
        <v>0</v>
      </c>
      <c r="K535" s="131" t="s">
        <v>184</v>
      </c>
      <c r="L535" s="33"/>
      <c r="M535" s="136" t="s">
        <v>3</v>
      </c>
      <c r="N535" s="137" t="s">
        <v>48</v>
      </c>
      <c r="P535" s="138">
        <f>O535*H535</f>
        <v>0</v>
      </c>
      <c r="Q535" s="138">
        <v>0</v>
      </c>
      <c r="R535" s="138">
        <f>Q535*H535</f>
        <v>0</v>
      </c>
      <c r="S535" s="138">
        <v>0</v>
      </c>
      <c r="T535" s="139">
        <f>S535*H535</f>
        <v>0</v>
      </c>
      <c r="AR535" s="140" t="s">
        <v>237</v>
      </c>
      <c r="AT535" s="140" t="s">
        <v>180</v>
      </c>
      <c r="AU535" s="140" t="s">
        <v>87</v>
      </c>
      <c r="AY535" s="18" t="s">
        <v>177</v>
      </c>
      <c r="BE535" s="141">
        <f>IF(N535="základní",J535,0)</f>
        <v>0</v>
      </c>
      <c r="BF535" s="141">
        <f>IF(N535="snížená",J535,0)</f>
        <v>0</v>
      </c>
      <c r="BG535" s="141">
        <f>IF(N535="zákl. přenesená",J535,0)</f>
        <v>0</v>
      </c>
      <c r="BH535" s="141">
        <f>IF(N535="sníž. přenesená",J535,0)</f>
        <v>0</v>
      </c>
      <c r="BI535" s="141">
        <f>IF(N535="nulová",J535,0)</f>
        <v>0</v>
      </c>
      <c r="BJ535" s="18" t="s">
        <v>85</v>
      </c>
      <c r="BK535" s="141">
        <f>ROUND(I535*H535,2)</f>
        <v>0</v>
      </c>
      <c r="BL535" s="18" t="s">
        <v>237</v>
      </c>
      <c r="BM535" s="140" t="s">
        <v>3552</v>
      </c>
    </row>
    <row r="536" spans="2:47" s="1" customFormat="1" ht="19.5">
      <c r="B536" s="33"/>
      <c r="D536" s="142" t="s">
        <v>187</v>
      </c>
      <c r="F536" s="143" t="s">
        <v>3553</v>
      </c>
      <c r="I536" s="144"/>
      <c r="L536" s="33"/>
      <c r="M536" s="145"/>
      <c r="T536" s="54"/>
      <c r="AT536" s="18" t="s">
        <v>187</v>
      </c>
      <c r="AU536" s="18" t="s">
        <v>87</v>
      </c>
    </row>
    <row r="537" spans="2:47" s="1" customFormat="1" ht="11.25">
      <c r="B537" s="33"/>
      <c r="D537" s="146" t="s">
        <v>189</v>
      </c>
      <c r="F537" s="147" t="s">
        <v>3554</v>
      </c>
      <c r="I537" s="144"/>
      <c r="L537" s="33"/>
      <c r="M537" s="145"/>
      <c r="T537" s="54"/>
      <c r="AT537" s="18" t="s">
        <v>189</v>
      </c>
      <c r="AU537" s="18" t="s">
        <v>87</v>
      </c>
    </row>
    <row r="538" spans="2:47" s="1" customFormat="1" ht="29.25">
      <c r="B538" s="33"/>
      <c r="D538" s="142" t="s">
        <v>191</v>
      </c>
      <c r="F538" s="148" t="s">
        <v>3533</v>
      </c>
      <c r="I538" s="144"/>
      <c r="L538" s="33"/>
      <c r="M538" s="145"/>
      <c r="T538" s="54"/>
      <c r="AT538" s="18" t="s">
        <v>191</v>
      </c>
      <c r="AU538" s="18" t="s">
        <v>87</v>
      </c>
    </row>
    <row r="539" spans="2:65" s="1" customFormat="1" ht="24.2" customHeight="1">
      <c r="B539" s="128"/>
      <c r="C539" s="129" t="s">
        <v>2733</v>
      </c>
      <c r="D539" s="129" t="s">
        <v>180</v>
      </c>
      <c r="E539" s="130" t="s">
        <v>3555</v>
      </c>
      <c r="F539" s="131" t="s">
        <v>3556</v>
      </c>
      <c r="G539" s="132" t="s">
        <v>332</v>
      </c>
      <c r="H539" s="133">
        <v>72.896</v>
      </c>
      <c r="I539" s="134"/>
      <c r="J539" s="135">
        <f>ROUND(I539*H539,2)</f>
        <v>0</v>
      </c>
      <c r="K539" s="131" t="s">
        <v>184</v>
      </c>
      <c r="L539" s="33"/>
      <c r="M539" s="136" t="s">
        <v>3</v>
      </c>
      <c r="N539" s="137" t="s">
        <v>48</v>
      </c>
      <c r="P539" s="138">
        <f>O539*H539</f>
        <v>0</v>
      </c>
      <c r="Q539" s="138">
        <v>0</v>
      </c>
      <c r="R539" s="138">
        <f>Q539*H539</f>
        <v>0</v>
      </c>
      <c r="S539" s="138">
        <v>0</v>
      </c>
      <c r="T539" s="139">
        <f>S539*H539</f>
        <v>0</v>
      </c>
      <c r="AR539" s="140" t="s">
        <v>237</v>
      </c>
      <c r="AT539" s="140" t="s">
        <v>180</v>
      </c>
      <c r="AU539" s="140" t="s">
        <v>87</v>
      </c>
      <c r="AY539" s="18" t="s">
        <v>177</v>
      </c>
      <c r="BE539" s="141">
        <f>IF(N539="základní",J539,0)</f>
        <v>0</v>
      </c>
      <c r="BF539" s="141">
        <f>IF(N539="snížená",J539,0)</f>
        <v>0</v>
      </c>
      <c r="BG539" s="141">
        <f>IF(N539="zákl. přenesená",J539,0)</f>
        <v>0</v>
      </c>
      <c r="BH539" s="141">
        <f>IF(N539="sníž. přenesená",J539,0)</f>
        <v>0</v>
      </c>
      <c r="BI539" s="141">
        <f>IF(N539="nulová",J539,0)</f>
        <v>0</v>
      </c>
      <c r="BJ539" s="18" t="s">
        <v>85</v>
      </c>
      <c r="BK539" s="141">
        <f>ROUND(I539*H539,2)</f>
        <v>0</v>
      </c>
      <c r="BL539" s="18" t="s">
        <v>237</v>
      </c>
      <c r="BM539" s="140" t="s">
        <v>3557</v>
      </c>
    </row>
    <row r="540" spans="2:47" s="1" customFormat="1" ht="19.5">
      <c r="B540" s="33"/>
      <c r="D540" s="142" t="s">
        <v>187</v>
      </c>
      <c r="F540" s="143" t="s">
        <v>3558</v>
      </c>
      <c r="I540" s="144"/>
      <c r="L540" s="33"/>
      <c r="M540" s="145"/>
      <c r="T540" s="54"/>
      <c r="AT540" s="18" t="s">
        <v>187</v>
      </c>
      <c r="AU540" s="18" t="s">
        <v>87</v>
      </c>
    </row>
    <row r="541" spans="2:47" s="1" customFormat="1" ht="11.25">
      <c r="B541" s="33"/>
      <c r="D541" s="146" t="s">
        <v>189</v>
      </c>
      <c r="F541" s="147" t="s">
        <v>3559</v>
      </c>
      <c r="I541" s="144"/>
      <c r="L541" s="33"/>
      <c r="M541" s="145"/>
      <c r="T541" s="54"/>
      <c r="AT541" s="18" t="s">
        <v>189</v>
      </c>
      <c r="AU541" s="18" t="s">
        <v>87</v>
      </c>
    </row>
    <row r="542" spans="2:47" s="1" customFormat="1" ht="29.25">
      <c r="B542" s="33"/>
      <c r="D542" s="142" t="s">
        <v>191</v>
      </c>
      <c r="F542" s="148" t="s">
        <v>3533</v>
      </c>
      <c r="I542" s="144"/>
      <c r="L542" s="33"/>
      <c r="M542" s="145"/>
      <c r="T542" s="54"/>
      <c r="AT542" s="18" t="s">
        <v>191</v>
      </c>
      <c r="AU542" s="18" t="s">
        <v>87</v>
      </c>
    </row>
    <row r="543" spans="2:65" s="1" customFormat="1" ht="21.75" customHeight="1">
      <c r="B543" s="128"/>
      <c r="C543" s="129" t="s">
        <v>2445</v>
      </c>
      <c r="D543" s="129" t="s">
        <v>180</v>
      </c>
      <c r="E543" s="130" t="s">
        <v>3560</v>
      </c>
      <c r="F543" s="131" t="s">
        <v>3561</v>
      </c>
      <c r="G543" s="132" t="s">
        <v>476</v>
      </c>
      <c r="H543" s="133">
        <v>46.4</v>
      </c>
      <c r="I543" s="134"/>
      <c r="J543" s="135">
        <f>ROUND(I543*H543,2)</f>
        <v>0</v>
      </c>
      <c r="K543" s="131" t="s">
        <v>184</v>
      </c>
      <c r="L543" s="33"/>
      <c r="M543" s="136" t="s">
        <v>3</v>
      </c>
      <c r="N543" s="137" t="s">
        <v>48</v>
      </c>
      <c r="P543" s="138">
        <f>O543*H543</f>
        <v>0</v>
      </c>
      <c r="Q543" s="138">
        <v>0.00055</v>
      </c>
      <c r="R543" s="138">
        <f>Q543*H543</f>
        <v>0.02552</v>
      </c>
      <c r="S543" s="138">
        <v>0</v>
      </c>
      <c r="T543" s="139">
        <f>S543*H543</f>
        <v>0</v>
      </c>
      <c r="AR543" s="140" t="s">
        <v>237</v>
      </c>
      <c r="AT543" s="140" t="s">
        <v>180</v>
      </c>
      <c r="AU543" s="140" t="s">
        <v>87</v>
      </c>
      <c r="AY543" s="18" t="s">
        <v>177</v>
      </c>
      <c r="BE543" s="141">
        <f>IF(N543="základní",J543,0)</f>
        <v>0</v>
      </c>
      <c r="BF543" s="141">
        <f>IF(N543="snížená",J543,0)</f>
        <v>0</v>
      </c>
      <c r="BG543" s="141">
        <f>IF(N543="zákl. přenesená",J543,0)</f>
        <v>0</v>
      </c>
      <c r="BH543" s="141">
        <f>IF(N543="sníž. přenesená",J543,0)</f>
        <v>0</v>
      </c>
      <c r="BI543" s="141">
        <f>IF(N543="nulová",J543,0)</f>
        <v>0</v>
      </c>
      <c r="BJ543" s="18" t="s">
        <v>85</v>
      </c>
      <c r="BK543" s="141">
        <f>ROUND(I543*H543,2)</f>
        <v>0</v>
      </c>
      <c r="BL543" s="18" t="s">
        <v>237</v>
      </c>
      <c r="BM543" s="140" t="s">
        <v>3562</v>
      </c>
    </row>
    <row r="544" spans="2:47" s="1" customFormat="1" ht="19.5">
      <c r="B544" s="33"/>
      <c r="D544" s="142" t="s">
        <v>187</v>
      </c>
      <c r="F544" s="143" t="s">
        <v>3563</v>
      </c>
      <c r="I544" s="144"/>
      <c r="L544" s="33"/>
      <c r="M544" s="145"/>
      <c r="T544" s="54"/>
      <c r="AT544" s="18" t="s">
        <v>187</v>
      </c>
      <c r="AU544" s="18" t="s">
        <v>87</v>
      </c>
    </row>
    <row r="545" spans="2:47" s="1" customFormat="1" ht="11.25">
      <c r="B545" s="33"/>
      <c r="D545" s="146" t="s">
        <v>189</v>
      </c>
      <c r="F545" s="147" t="s">
        <v>3564</v>
      </c>
      <c r="I545" s="144"/>
      <c r="L545" s="33"/>
      <c r="M545" s="145"/>
      <c r="T545" s="54"/>
      <c r="AT545" s="18" t="s">
        <v>189</v>
      </c>
      <c r="AU545" s="18" t="s">
        <v>87</v>
      </c>
    </row>
    <row r="546" spans="2:47" s="1" customFormat="1" ht="58.5">
      <c r="B546" s="33"/>
      <c r="D546" s="142" t="s">
        <v>191</v>
      </c>
      <c r="F546" s="148" t="s">
        <v>3565</v>
      </c>
      <c r="I546" s="144"/>
      <c r="L546" s="33"/>
      <c r="M546" s="145"/>
      <c r="T546" s="54"/>
      <c r="AT546" s="18" t="s">
        <v>191</v>
      </c>
      <c r="AU546" s="18" t="s">
        <v>87</v>
      </c>
    </row>
    <row r="547" spans="2:51" s="12" customFormat="1" ht="11.25">
      <c r="B547" s="149"/>
      <c r="D547" s="142" t="s">
        <v>193</v>
      </c>
      <c r="E547" s="150" t="s">
        <v>3</v>
      </c>
      <c r="F547" s="151" t="s">
        <v>3566</v>
      </c>
      <c r="H547" s="152">
        <v>14.4</v>
      </c>
      <c r="I547" s="153"/>
      <c r="L547" s="149"/>
      <c r="M547" s="154"/>
      <c r="T547" s="155"/>
      <c r="AT547" s="150" t="s">
        <v>193</v>
      </c>
      <c r="AU547" s="150" t="s">
        <v>87</v>
      </c>
      <c r="AV547" s="12" t="s">
        <v>87</v>
      </c>
      <c r="AW547" s="12" t="s">
        <v>36</v>
      </c>
      <c r="AX547" s="12" t="s">
        <v>77</v>
      </c>
      <c r="AY547" s="150" t="s">
        <v>177</v>
      </c>
    </row>
    <row r="548" spans="2:51" s="12" customFormat="1" ht="11.25">
      <c r="B548" s="149"/>
      <c r="D548" s="142" t="s">
        <v>193</v>
      </c>
      <c r="E548" s="150" t="s">
        <v>3</v>
      </c>
      <c r="F548" s="151" t="s">
        <v>3567</v>
      </c>
      <c r="H548" s="152">
        <v>12</v>
      </c>
      <c r="I548" s="153"/>
      <c r="L548" s="149"/>
      <c r="M548" s="154"/>
      <c r="T548" s="155"/>
      <c r="AT548" s="150" t="s">
        <v>193</v>
      </c>
      <c r="AU548" s="150" t="s">
        <v>87</v>
      </c>
      <c r="AV548" s="12" t="s">
        <v>87</v>
      </c>
      <c r="AW548" s="12" t="s">
        <v>36</v>
      </c>
      <c r="AX548" s="12" t="s">
        <v>77</v>
      </c>
      <c r="AY548" s="150" t="s">
        <v>177</v>
      </c>
    </row>
    <row r="549" spans="2:51" s="12" customFormat="1" ht="11.25">
      <c r="B549" s="149"/>
      <c r="D549" s="142" t="s">
        <v>193</v>
      </c>
      <c r="E549" s="150" t="s">
        <v>3</v>
      </c>
      <c r="F549" s="151" t="s">
        <v>3568</v>
      </c>
      <c r="H549" s="152">
        <v>14</v>
      </c>
      <c r="I549" s="153"/>
      <c r="L549" s="149"/>
      <c r="M549" s="154"/>
      <c r="T549" s="155"/>
      <c r="AT549" s="150" t="s">
        <v>193</v>
      </c>
      <c r="AU549" s="150" t="s">
        <v>87</v>
      </c>
      <c r="AV549" s="12" t="s">
        <v>87</v>
      </c>
      <c r="AW549" s="12" t="s">
        <v>36</v>
      </c>
      <c r="AX549" s="12" t="s">
        <v>77</v>
      </c>
      <c r="AY549" s="150" t="s">
        <v>177</v>
      </c>
    </row>
    <row r="550" spans="2:51" s="12" customFormat="1" ht="11.25">
      <c r="B550" s="149"/>
      <c r="D550" s="142" t="s">
        <v>193</v>
      </c>
      <c r="E550" s="150" t="s">
        <v>3</v>
      </c>
      <c r="F550" s="151" t="s">
        <v>3569</v>
      </c>
      <c r="H550" s="152">
        <v>6</v>
      </c>
      <c r="I550" s="153"/>
      <c r="L550" s="149"/>
      <c r="M550" s="154"/>
      <c r="T550" s="155"/>
      <c r="AT550" s="150" t="s">
        <v>193</v>
      </c>
      <c r="AU550" s="150" t="s">
        <v>87</v>
      </c>
      <c r="AV550" s="12" t="s">
        <v>87</v>
      </c>
      <c r="AW550" s="12" t="s">
        <v>36</v>
      </c>
      <c r="AX550" s="12" t="s">
        <v>77</v>
      </c>
      <c r="AY550" s="150" t="s">
        <v>177</v>
      </c>
    </row>
    <row r="551" spans="2:51" s="15" customFormat="1" ht="11.25">
      <c r="B551" s="169"/>
      <c r="D551" s="142" t="s">
        <v>193</v>
      </c>
      <c r="E551" s="170" t="s">
        <v>3</v>
      </c>
      <c r="F551" s="171" t="s">
        <v>201</v>
      </c>
      <c r="H551" s="172">
        <v>46.4</v>
      </c>
      <c r="I551" s="173"/>
      <c r="L551" s="169"/>
      <c r="M551" s="174"/>
      <c r="T551" s="175"/>
      <c r="AT551" s="170" t="s">
        <v>193</v>
      </c>
      <c r="AU551" s="170" t="s">
        <v>87</v>
      </c>
      <c r="AV551" s="15" t="s">
        <v>185</v>
      </c>
      <c r="AW551" s="15" t="s">
        <v>36</v>
      </c>
      <c r="AX551" s="15" t="s">
        <v>85</v>
      </c>
      <c r="AY551" s="170" t="s">
        <v>177</v>
      </c>
    </row>
    <row r="552" spans="2:65" s="1" customFormat="1" ht="21.75" customHeight="1">
      <c r="B552" s="128"/>
      <c r="C552" s="129" t="s">
        <v>2745</v>
      </c>
      <c r="D552" s="129" t="s">
        <v>180</v>
      </c>
      <c r="E552" s="130" t="s">
        <v>3570</v>
      </c>
      <c r="F552" s="131" t="s">
        <v>3571</v>
      </c>
      <c r="G552" s="132" t="s">
        <v>476</v>
      </c>
      <c r="H552" s="133">
        <v>37.47</v>
      </c>
      <c r="I552" s="134"/>
      <c r="J552" s="135">
        <f>ROUND(I552*H552,2)</f>
        <v>0</v>
      </c>
      <c r="K552" s="131" t="s">
        <v>184</v>
      </c>
      <c r="L552" s="33"/>
      <c r="M552" s="136" t="s">
        <v>3</v>
      </c>
      <c r="N552" s="137" t="s">
        <v>48</v>
      </c>
      <c r="P552" s="138">
        <f>O552*H552</f>
        <v>0</v>
      </c>
      <c r="Q552" s="138">
        <v>0.0005</v>
      </c>
      <c r="R552" s="138">
        <f>Q552*H552</f>
        <v>0.018734999999999998</v>
      </c>
      <c r="S552" s="138">
        <v>0</v>
      </c>
      <c r="T552" s="139">
        <f>S552*H552</f>
        <v>0</v>
      </c>
      <c r="AR552" s="140" t="s">
        <v>237</v>
      </c>
      <c r="AT552" s="140" t="s">
        <v>180</v>
      </c>
      <c r="AU552" s="140" t="s">
        <v>87</v>
      </c>
      <c r="AY552" s="18" t="s">
        <v>177</v>
      </c>
      <c r="BE552" s="141">
        <f>IF(N552="základní",J552,0)</f>
        <v>0</v>
      </c>
      <c r="BF552" s="141">
        <f>IF(N552="snížená",J552,0)</f>
        <v>0</v>
      </c>
      <c r="BG552" s="141">
        <f>IF(N552="zákl. přenesená",J552,0)</f>
        <v>0</v>
      </c>
      <c r="BH552" s="141">
        <f>IF(N552="sníž. přenesená",J552,0)</f>
        <v>0</v>
      </c>
      <c r="BI552" s="141">
        <f>IF(N552="nulová",J552,0)</f>
        <v>0</v>
      </c>
      <c r="BJ552" s="18" t="s">
        <v>85</v>
      </c>
      <c r="BK552" s="141">
        <f>ROUND(I552*H552,2)</f>
        <v>0</v>
      </c>
      <c r="BL552" s="18" t="s">
        <v>237</v>
      </c>
      <c r="BM552" s="140" t="s">
        <v>3572</v>
      </c>
    </row>
    <row r="553" spans="2:47" s="1" customFormat="1" ht="19.5">
      <c r="B553" s="33"/>
      <c r="D553" s="142" t="s">
        <v>187</v>
      </c>
      <c r="F553" s="143" t="s">
        <v>3573</v>
      </c>
      <c r="I553" s="144"/>
      <c r="L553" s="33"/>
      <c r="M553" s="145"/>
      <c r="T553" s="54"/>
      <c r="AT553" s="18" t="s">
        <v>187</v>
      </c>
      <c r="AU553" s="18" t="s">
        <v>87</v>
      </c>
    </row>
    <row r="554" spans="2:47" s="1" customFormat="1" ht="11.25">
      <c r="B554" s="33"/>
      <c r="D554" s="146" t="s">
        <v>189</v>
      </c>
      <c r="F554" s="147" t="s">
        <v>3574</v>
      </c>
      <c r="I554" s="144"/>
      <c r="L554" s="33"/>
      <c r="M554" s="145"/>
      <c r="T554" s="54"/>
      <c r="AT554" s="18" t="s">
        <v>189</v>
      </c>
      <c r="AU554" s="18" t="s">
        <v>87</v>
      </c>
    </row>
    <row r="555" spans="2:47" s="1" customFormat="1" ht="58.5">
      <c r="B555" s="33"/>
      <c r="D555" s="142" t="s">
        <v>191</v>
      </c>
      <c r="F555" s="148" t="s">
        <v>3565</v>
      </c>
      <c r="I555" s="144"/>
      <c r="L555" s="33"/>
      <c r="M555" s="145"/>
      <c r="T555" s="54"/>
      <c r="AT555" s="18" t="s">
        <v>191</v>
      </c>
      <c r="AU555" s="18" t="s">
        <v>87</v>
      </c>
    </row>
    <row r="556" spans="2:51" s="13" customFormat="1" ht="11.25">
      <c r="B556" s="156"/>
      <c r="D556" s="142" t="s">
        <v>193</v>
      </c>
      <c r="E556" s="157" t="s">
        <v>3</v>
      </c>
      <c r="F556" s="158" t="s">
        <v>929</v>
      </c>
      <c r="H556" s="157" t="s">
        <v>3</v>
      </c>
      <c r="I556" s="159"/>
      <c r="L556" s="156"/>
      <c r="M556" s="160"/>
      <c r="T556" s="161"/>
      <c r="AT556" s="157" t="s">
        <v>193</v>
      </c>
      <c r="AU556" s="157" t="s">
        <v>87</v>
      </c>
      <c r="AV556" s="13" t="s">
        <v>85</v>
      </c>
      <c r="AW556" s="13" t="s">
        <v>36</v>
      </c>
      <c r="AX556" s="13" t="s">
        <v>77</v>
      </c>
      <c r="AY556" s="157" t="s">
        <v>177</v>
      </c>
    </row>
    <row r="557" spans="2:51" s="12" customFormat="1" ht="11.25">
      <c r="B557" s="149"/>
      <c r="D557" s="142" t="s">
        <v>193</v>
      </c>
      <c r="E557" s="150" t="s">
        <v>3</v>
      </c>
      <c r="F557" s="151" t="s">
        <v>3575</v>
      </c>
      <c r="H557" s="152">
        <v>9.25</v>
      </c>
      <c r="I557" s="153"/>
      <c r="L557" s="149"/>
      <c r="M557" s="154"/>
      <c r="T557" s="155"/>
      <c r="AT557" s="150" t="s">
        <v>193</v>
      </c>
      <c r="AU557" s="150" t="s">
        <v>87</v>
      </c>
      <c r="AV557" s="12" t="s">
        <v>87</v>
      </c>
      <c r="AW557" s="12" t="s">
        <v>36</v>
      </c>
      <c r="AX557" s="12" t="s">
        <v>77</v>
      </c>
      <c r="AY557" s="150" t="s">
        <v>177</v>
      </c>
    </row>
    <row r="558" spans="2:51" s="12" customFormat="1" ht="11.25">
      <c r="B558" s="149"/>
      <c r="D558" s="142" t="s">
        <v>193</v>
      </c>
      <c r="E558" s="150" t="s">
        <v>3</v>
      </c>
      <c r="F558" s="151" t="s">
        <v>3576</v>
      </c>
      <c r="H558" s="152">
        <v>5.52</v>
      </c>
      <c r="I558" s="153"/>
      <c r="L558" s="149"/>
      <c r="M558" s="154"/>
      <c r="T558" s="155"/>
      <c r="AT558" s="150" t="s">
        <v>193</v>
      </c>
      <c r="AU558" s="150" t="s">
        <v>87</v>
      </c>
      <c r="AV558" s="12" t="s">
        <v>87</v>
      </c>
      <c r="AW558" s="12" t="s">
        <v>36</v>
      </c>
      <c r="AX558" s="12" t="s">
        <v>77</v>
      </c>
      <c r="AY558" s="150" t="s">
        <v>177</v>
      </c>
    </row>
    <row r="559" spans="2:51" s="13" customFormat="1" ht="11.25">
      <c r="B559" s="156"/>
      <c r="D559" s="142" t="s">
        <v>193</v>
      </c>
      <c r="E559" s="157" t="s">
        <v>3</v>
      </c>
      <c r="F559" s="158" t="s">
        <v>937</v>
      </c>
      <c r="H559" s="157" t="s">
        <v>3</v>
      </c>
      <c r="I559" s="159"/>
      <c r="L559" s="156"/>
      <c r="M559" s="160"/>
      <c r="T559" s="161"/>
      <c r="AT559" s="157" t="s">
        <v>193</v>
      </c>
      <c r="AU559" s="157" t="s">
        <v>87</v>
      </c>
      <c r="AV559" s="13" t="s">
        <v>85</v>
      </c>
      <c r="AW559" s="13" t="s">
        <v>36</v>
      </c>
      <c r="AX559" s="13" t="s">
        <v>77</v>
      </c>
      <c r="AY559" s="157" t="s">
        <v>177</v>
      </c>
    </row>
    <row r="560" spans="2:51" s="12" customFormat="1" ht="11.25">
      <c r="B560" s="149"/>
      <c r="D560" s="142" t="s">
        <v>193</v>
      </c>
      <c r="E560" s="150" t="s">
        <v>3</v>
      </c>
      <c r="F560" s="151" t="s">
        <v>3577</v>
      </c>
      <c r="H560" s="152">
        <v>10.5</v>
      </c>
      <c r="I560" s="153"/>
      <c r="L560" s="149"/>
      <c r="M560" s="154"/>
      <c r="T560" s="155"/>
      <c r="AT560" s="150" t="s">
        <v>193</v>
      </c>
      <c r="AU560" s="150" t="s">
        <v>87</v>
      </c>
      <c r="AV560" s="12" t="s">
        <v>87</v>
      </c>
      <c r="AW560" s="12" t="s">
        <v>36</v>
      </c>
      <c r="AX560" s="12" t="s">
        <v>77</v>
      </c>
      <c r="AY560" s="150" t="s">
        <v>177</v>
      </c>
    </row>
    <row r="561" spans="2:51" s="12" customFormat="1" ht="11.25">
      <c r="B561" s="149"/>
      <c r="D561" s="142" t="s">
        <v>193</v>
      </c>
      <c r="E561" s="150" t="s">
        <v>3</v>
      </c>
      <c r="F561" s="151" t="s">
        <v>3578</v>
      </c>
      <c r="H561" s="152">
        <v>4.7</v>
      </c>
      <c r="I561" s="153"/>
      <c r="L561" s="149"/>
      <c r="M561" s="154"/>
      <c r="T561" s="155"/>
      <c r="AT561" s="150" t="s">
        <v>193</v>
      </c>
      <c r="AU561" s="150" t="s">
        <v>87</v>
      </c>
      <c r="AV561" s="12" t="s">
        <v>87</v>
      </c>
      <c r="AW561" s="12" t="s">
        <v>36</v>
      </c>
      <c r="AX561" s="12" t="s">
        <v>77</v>
      </c>
      <c r="AY561" s="150" t="s">
        <v>177</v>
      </c>
    </row>
    <row r="562" spans="2:51" s="14" customFormat="1" ht="11.25">
      <c r="B562" s="162"/>
      <c r="D562" s="142" t="s">
        <v>193</v>
      </c>
      <c r="E562" s="163" t="s">
        <v>3</v>
      </c>
      <c r="F562" s="164" t="s">
        <v>197</v>
      </c>
      <c r="H562" s="165">
        <v>29.97</v>
      </c>
      <c r="I562" s="166"/>
      <c r="L562" s="162"/>
      <c r="M562" s="167"/>
      <c r="T562" s="168"/>
      <c r="AT562" s="163" t="s">
        <v>193</v>
      </c>
      <c r="AU562" s="163" t="s">
        <v>87</v>
      </c>
      <c r="AV562" s="14" t="s">
        <v>198</v>
      </c>
      <c r="AW562" s="14" t="s">
        <v>36</v>
      </c>
      <c r="AX562" s="14" t="s">
        <v>77</v>
      </c>
      <c r="AY562" s="163" t="s">
        <v>177</v>
      </c>
    </row>
    <row r="563" spans="2:51" s="12" customFormat="1" ht="11.25">
      <c r="B563" s="149"/>
      <c r="D563" s="142" t="s">
        <v>193</v>
      </c>
      <c r="E563" s="150" t="s">
        <v>3</v>
      </c>
      <c r="F563" s="151" t="s">
        <v>3579</v>
      </c>
      <c r="H563" s="152">
        <v>7.5</v>
      </c>
      <c r="I563" s="153"/>
      <c r="L563" s="149"/>
      <c r="M563" s="154"/>
      <c r="T563" s="155"/>
      <c r="AT563" s="150" t="s">
        <v>193</v>
      </c>
      <c r="AU563" s="150" t="s">
        <v>87</v>
      </c>
      <c r="AV563" s="12" t="s">
        <v>87</v>
      </c>
      <c r="AW563" s="12" t="s">
        <v>36</v>
      </c>
      <c r="AX563" s="12" t="s">
        <v>77</v>
      </c>
      <c r="AY563" s="150" t="s">
        <v>177</v>
      </c>
    </row>
    <row r="564" spans="2:51" s="15" customFormat="1" ht="11.25">
      <c r="B564" s="169"/>
      <c r="D564" s="142" t="s">
        <v>193</v>
      </c>
      <c r="E564" s="170" t="s">
        <v>3</v>
      </c>
      <c r="F564" s="171" t="s">
        <v>201</v>
      </c>
      <c r="H564" s="172">
        <v>37.47</v>
      </c>
      <c r="I564" s="173"/>
      <c r="L564" s="169"/>
      <c r="M564" s="174"/>
      <c r="T564" s="175"/>
      <c r="AT564" s="170" t="s">
        <v>193</v>
      </c>
      <c r="AU564" s="170" t="s">
        <v>87</v>
      </c>
      <c r="AV564" s="15" t="s">
        <v>185</v>
      </c>
      <c r="AW564" s="15" t="s">
        <v>36</v>
      </c>
      <c r="AX564" s="15" t="s">
        <v>85</v>
      </c>
      <c r="AY564" s="170" t="s">
        <v>177</v>
      </c>
    </row>
    <row r="565" spans="2:65" s="1" customFormat="1" ht="16.5" customHeight="1">
      <c r="B565" s="128"/>
      <c r="C565" s="129" t="s">
        <v>2751</v>
      </c>
      <c r="D565" s="129" t="s">
        <v>180</v>
      </c>
      <c r="E565" s="130" t="s">
        <v>3580</v>
      </c>
      <c r="F565" s="131" t="s">
        <v>3581</v>
      </c>
      <c r="G565" s="132" t="s">
        <v>236</v>
      </c>
      <c r="H565" s="133">
        <v>49</v>
      </c>
      <c r="I565" s="134"/>
      <c r="J565" s="135">
        <f>ROUND(I565*H565,2)</f>
        <v>0</v>
      </c>
      <c r="K565" s="131" t="s">
        <v>184</v>
      </c>
      <c r="L565" s="33"/>
      <c r="M565" s="136" t="s">
        <v>3</v>
      </c>
      <c r="N565" s="137" t="s">
        <v>48</v>
      </c>
      <c r="P565" s="138">
        <f>O565*H565</f>
        <v>0</v>
      </c>
      <c r="Q565" s="138">
        <v>0</v>
      </c>
      <c r="R565" s="138">
        <f>Q565*H565</f>
        <v>0</v>
      </c>
      <c r="S565" s="138">
        <v>0</v>
      </c>
      <c r="T565" s="139">
        <f>S565*H565</f>
        <v>0</v>
      </c>
      <c r="AR565" s="140" t="s">
        <v>237</v>
      </c>
      <c r="AT565" s="140" t="s">
        <v>180</v>
      </c>
      <c r="AU565" s="140" t="s">
        <v>87</v>
      </c>
      <c r="AY565" s="18" t="s">
        <v>177</v>
      </c>
      <c r="BE565" s="141">
        <f>IF(N565="základní",J565,0)</f>
        <v>0</v>
      </c>
      <c r="BF565" s="141">
        <f>IF(N565="snížená",J565,0)</f>
        <v>0</v>
      </c>
      <c r="BG565" s="141">
        <f>IF(N565="zákl. přenesená",J565,0)</f>
        <v>0</v>
      </c>
      <c r="BH565" s="141">
        <f>IF(N565="sníž. přenesená",J565,0)</f>
        <v>0</v>
      </c>
      <c r="BI565" s="141">
        <f>IF(N565="nulová",J565,0)</f>
        <v>0</v>
      </c>
      <c r="BJ565" s="18" t="s">
        <v>85</v>
      </c>
      <c r="BK565" s="141">
        <f>ROUND(I565*H565,2)</f>
        <v>0</v>
      </c>
      <c r="BL565" s="18" t="s">
        <v>237</v>
      </c>
      <c r="BM565" s="140" t="s">
        <v>3582</v>
      </c>
    </row>
    <row r="566" spans="2:47" s="1" customFormat="1" ht="19.5">
      <c r="B566" s="33"/>
      <c r="D566" s="142" t="s">
        <v>187</v>
      </c>
      <c r="F566" s="143" t="s">
        <v>3583</v>
      </c>
      <c r="I566" s="144"/>
      <c r="L566" s="33"/>
      <c r="M566" s="145"/>
      <c r="T566" s="54"/>
      <c r="AT566" s="18" t="s">
        <v>187</v>
      </c>
      <c r="AU566" s="18" t="s">
        <v>87</v>
      </c>
    </row>
    <row r="567" spans="2:47" s="1" customFormat="1" ht="11.25">
      <c r="B567" s="33"/>
      <c r="D567" s="146" t="s">
        <v>189</v>
      </c>
      <c r="F567" s="147" t="s">
        <v>3584</v>
      </c>
      <c r="I567" s="144"/>
      <c r="L567" s="33"/>
      <c r="M567" s="145"/>
      <c r="T567" s="54"/>
      <c r="AT567" s="18" t="s">
        <v>189</v>
      </c>
      <c r="AU567" s="18" t="s">
        <v>87</v>
      </c>
    </row>
    <row r="568" spans="2:47" s="1" customFormat="1" ht="58.5">
      <c r="B568" s="33"/>
      <c r="D568" s="142" t="s">
        <v>191</v>
      </c>
      <c r="F568" s="148" t="s">
        <v>3565</v>
      </c>
      <c r="I568" s="144"/>
      <c r="L568" s="33"/>
      <c r="M568" s="145"/>
      <c r="T568" s="54"/>
      <c r="AT568" s="18" t="s">
        <v>191</v>
      </c>
      <c r="AU568" s="18" t="s">
        <v>87</v>
      </c>
    </row>
    <row r="569" spans="2:51" s="12" customFormat="1" ht="11.25">
      <c r="B569" s="149"/>
      <c r="D569" s="142" t="s">
        <v>193</v>
      </c>
      <c r="E569" s="150" t="s">
        <v>3</v>
      </c>
      <c r="F569" s="151" t="s">
        <v>3585</v>
      </c>
      <c r="H569" s="152">
        <v>23</v>
      </c>
      <c r="I569" s="153"/>
      <c r="L569" s="149"/>
      <c r="M569" s="154"/>
      <c r="T569" s="155"/>
      <c r="AT569" s="150" t="s">
        <v>193</v>
      </c>
      <c r="AU569" s="150" t="s">
        <v>87</v>
      </c>
      <c r="AV569" s="12" t="s">
        <v>87</v>
      </c>
      <c r="AW569" s="12" t="s">
        <v>36</v>
      </c>
      <c r="AX569" s="12" t="s">
        <v>77</v>
      </c>
      <c r="AY569" s="150" t="s">
        <v>177</v>
      </c>
    </row>
    <row r="570" spans="2:51" s="12" customFormat="1" ht="11.25">
      <c r="B570" s="149"/>
      <c r="D570" s="142" t="s">
        <v>193</v>
      </c>
      <c r="E570" s="150" t="s">
        <v>3</v>
      </c>
      <c r="F570" s="151" t="s">
        <v>3586</v>
      </c>
      <c r="H570" s="152">
        <v>26</v>
      </c>
      <c r="I570" s="153"/>
      <c r="L570" s="149"/>
      <c r="M570" s="154"/>
      <c r="T570" s="155"/>
      <c r="AT570" s="150" t="s">
        <v>193</v>
      </c>
      <c r="AU570" s="150" t="s">
        <v>87</v>
      </c>
      <c r="AV570" s="12" t="s">
        <v>87</v>
      </c>
      <c r="AW570" s="12" t="s">
        <v>36</v>
      </c>
      <c r="AX570" s="12" t="s">
        <v>77</v>
      </c>
      <c r="AY570" s="150" t="s">
        <v>177</v>
      </c>
    </row>
    <row r="571" spans="2:51" s="15" customFormat="1" ht="11.25">
      <c r="B571" s="169"/>
      <c r="D571" s="142" t="s">
        <v>193</v>
      </c>
      <c r="E571" s="170" t="s">
        <v>3</v>
      </c>
      <c r="F571" s="171" t="s">
        <v>201</v>
      </c>
      <c r="H571" s="172">
        <v>49</v>
      </c>
      <c r="I571" s="173"/>
      <c r="L571" s="169"/>
      <c r="M571" s="174"/>
      <c r="T571" s="175"/>
      <c r="AT571" s="170" t="s">
        <v>193</v>
      </c>
      <c r="AU571" s="170" t="s">
        <v>87</v>
      </c>
      <c r="AV571" s="15" t="s">
        <v>185</v>
      </c>
      <c r="AW571" s="15" t="s">
        <v>36</v>
      </c>
      <c r="AX571" s="15" t="s">
        <v>85</v>
      </c>
      <c r="AY571" s="170" t="s">
        <v>177</v>
      </c>
    </row>
    <row r="572" spans="2:65" s="1" customFormat="1" ht="21.75" customHeight="1">
      <c r="B572" s="128"/>
      <c r="C572" s="129" t="s">
        <v>2760</v>
      </c>
      <c r="D572" s="129" t="s">
        <v>180</v>
      </c>
      <c r="E572" s="130" t="s">
        <v>3587</v>
      </c>
      <c r="F572" s="131" t="s">
        <v>3588</v>
      </c>
      <c r="G572" s="132" t="s">
        <v>236</v>
      </c>
      <c r="H572" s="133">
        <v>17</v>
      </c>
      <c r="I572" s="134"/>
      <c r="J572" s="135">
        <f>ROUND(I572*H572,2)</f>
        <v>0</v>
      </c>
      <c r="K572" s="131" t="s">
        <v>184</v>
      </c>
      <c r="L572" s="33"/>
      <c r="M572" s="136" t="s">
        <v>3</v>
      </c>
      <c r="N572" s="137" t="s">
        <v>48</v>
      </c>
      <c r="P572" s="138">
        <f>O572*H572</f>
        <v>0</v>
      </c>
      <c r="Q572" s="138">
        <v>0</v>
      </c>
      <c r="R572" s="138">
        <f>Q572*H572</f>
        <v>0</v>
      </c>
      <c r="S572" s="138">
        <v>0</v>
      </c>
      <c r="T572" s="139">
        <f>S572*H572</f>
        <v>0</v>
      </c>
      <c r="AR572" s="140" t="s">
        <v>237</v>
      </c>
      <c r="AT572" s="140" t="s">
        <v>180</v>
      </c>
      <c r="AU572" s="140" t="s">
        <v>87</v>
      </c>
      <c r="AY572" s="18" t="s">
        <v>177</v>
      </c>
      <c r="BE572" s="141">
        <f>IF(N572="základní",J572,0)</f>
        <v>0</v>
      </c>
      <c r="BF572" s="141">
        <f>IF(N572="snížená",J572,0)</f>
        <v>0</v>
      </c>
      <c r="BG572" s="141">
        <f>IF(N572="zákl. přenesená",J572,0)</f>
        <v>0</v>
      </c>
      <c r="BH572" s="141">
        <f>IF(N572="sníž. přenesená",J572,0)</f>
        <v>0</v>
      </c>
      <c r="BI572" s="141">
        <f>IF(N572="nulová",J572,0)</f>
        <v>0</v>
      </c>
      <c r="BJ572" s="18" t="s">
        <v>85</v>
      </c>
      <c r="BK572" s="141">
        <f>ROUND(I572*H572,2)</f>
        <v>0</v>
      </c>
      <c r="BL572" s="18" t="s">
        <v>237</v>
      </c>
      <c r="BM572" s="140" t="s">
        <v>3589</v>
      </c>
    </row>
    <row r="573" spans="2:47" s="1" customFormat="1" ht="19.5">
      <c r="B573" s="33"/>
      <c r="D573" s="142" t="s">
        <v>187</v>
      </c>
      <c r="F573" s="143" t="s">
        <v>3590</v>
      </c>
      <c r="I573" s="144"/>
      <c r="L573" s="33"/>
      <c r="M573" s="145"/>
      <c r="T573" s="54"/>
      <c r="AT573" s="18" t="s">
        <v>187</v>
      </c>
      <c r="AU573" s="18" t="s">
        <v>87</v>
      </c>
    </row>
    <row r="574" spans="2:47" s="1" customFormat="1" ht="11.25">
      <c r="B574" s="33"/>
      <c r="D574" s="146" t="s">
        <v>189</v>
      </c>
      <c r="F574" s="147" t="s">
        <v>3591</v>
      </c>
      <c r="I574" s="144"/>
      <c r="L574" s="33"/>
      <c r="M574" s="145"/>
      <c r="T574" s="54"/>
      <c r="AT574" s="18" t="s">
        <v>189</v>
      </c>
      <c r="AU574" s="18" t="s">
        <v>87</v>
      </c>
    </row>
    <row r="575" spans="2:47" s="1" customFormat="1" ht="58.5">
      <c r="B575" s="33"/>
      <c r="D575" s="142" t="s">
        <v>191</v>
      </c>
      <c r="F575" s="148" t="s">
        <v>3565</v>
      </c>
      <c r="I575" s="144"/>
      <c r="L575" s="33"/>
      <c r="M575" s="145"/>
      <c r="T575" s="54"/>
      <c r="AT575" s="18" t="s">
        <v>191</v>
      </c>
      <c r="AU575" s="18" t="s">
        <v>87</v>
      </c>
    </row>
    <row r="576" spans="2:65" s="1" customFormat="1" ht="16.5" customHeight="1">
      <c r="B576" s="128"/>
      <c r="C576" s="129" t="s">
        <v>2769</v>
      </c>
      <c r="D576" s="129" t="s">
        <v>180</v>
      </c>
      <c r="E576" s="130" t="s">
        <v>3592</v>
      </c>
      <c r="F576" s="131" t="s">
        <v>3593</v>
      </c>
      <c r="G576" s="132" t="s">
        <v>236</v>
      </c>
      <c r="H576" s="133">
        <v>13</v>
      </c>
      <c r="I576" s="134"/>
      <c r="J576" s="135">
        <f>ROUND(I576*H576,2)</f>
        <v>0</v>
      </c>
      <c r="K576" s="131" t="s">
        <v>184</v>
      </c>
      <c r="L576" s="33"/>
      <c r="M576" s="136" t="s">
        <v>3</v>
      </c>
      <c r="N576" s="137" t="s">
        <v>48</v>
      </c>
      <c r="P576" s="138">
        <f>O576*H576</f>
        <v>0</v>
      </c>
      <c r="Q576" s="138">
        <v>0</v>
      </c>
      <c r="R576" s="138">
        <f>Q576*H576</f>
        <v>0</v>
      </c>
      <c r="S576" s="138">
        <v>0</v>
      </c>
      <c r="T576" s="139">
        <f>S576*H576</f>
        <v>0</v>
      </c>
      <c r="AR576" s="140" t="s">
        <v>237</v>
      </c>
      <c r="AT576" s="140" t="s">
        <v>180</v>
      </c>
      <c r="AU576" s="140" t="s">
        <v>87</v>
      </c>
      <c r="AY576" s="18" t="s">
        <v>177</v>
      </c>
      <c r="BE576" s="141">
        <f>IF(N576="základní",J576,0)</f>
        <v>0</v>
      </c>
      <c r="BF576" s="141">
        <f>IF(N576="snížená",J576,0)</f>
        <v>0</v>
      </c>
      <c r="BG576" s="141">
        <f>IF(N576="zákl. přenesená",J576,0)</f>
        <v>0</v>
      </c>
      <c r="BH576" s="141">
        <f>IF(N576="sníž. přenesená",J576,0)</f>
        <v>0</v>
      </c>
      <c r="BI576" s="141">
        <f>IF(N576="nulová",J576,0)</f>
        <v>0</v>
      </c>
      <c r="BJ576" s="18" t="s">
        <v>85</v>
      </c>
      <c r="BK576" s="141">
        <f>ROUND(I576*H576,2)</f>
        <v>0</v>
      </c>
      <c r="BL576" s="18" t="s">
        <v>237</v>
      </c>
      <c r="BM576" s="140" t="s">
        <v>3594</v>
      </c>
    </row>
    <row r="577" spans="2:47" s="1" customFormat="1" ht="19.5">
      <c r="B577" s="33"/>
      <c r="D577" s="142" t="s">
        <v>187</v>
      </c>
      <c r="F577" s="143" t="s">
        <v>3595</v>
      </c>
      <c r="I577" s="144"/>
      <c r="L577" s="33"/>
      <c r="M577" s="145"/>
      <c r="T577" s="54"/>
      <c r="AT577" s="18" t="s">
        <v>187</v>
      </c>
      <c r="AU577" s="18" t="s">
        <v>87</v>
      </c>
    </row>
    <row r="578" spans="2:47" s="1" customFormat="1" ht="11.25">
      <c r="B578" s="33"/>
      <c r="D578" s="146" t="s">
        <v>189</v>
      </c>
      <c r="F578" s="147" t="s">
        <v>3596</v>
      </c>
      <c r="I578" s="144"/>
      <c r="L578" s="33"/>
      <c r="M578" s="145"/>
      <c r="T578" s="54"/>
      <c r="AT578" s="18" t="s">
        <v>189</v>
      </c>
      <c r="AU578" s="18" t="s">
        <v>87</v>
      </c>
    </row>
    <row r="579" spans="2:47" s="1" customFormat="1" ht="58.5">
      <c r="B579" s="33"/>
      <c r="D579" s="142" t="s">
        <v>191</v>
      </c>
      <c r="F579" s="148" t="s">
        <v>3565</v>
      </c>
      <c r="I579" s="144"/>
      <c r="L579" s="33"/>
      <c r="M579" s="145"/>
      <c r="T579" s="54"/>
      <c r="AT579" s="18" t="s">
        <v>191</v>
      </c>
      <c r="AU579" s="18" t="s">
        <v>87</v>
      </c>
    </row>
    <row r="580" spans="2:65" s="1" customFormat="1" ht="24.2" customHeight="1">
      <c r="B580" s="128"/>
      <c r="C580" s="129" t="s">
        <v>2777</v>
      </c>
      <c r="D580" s="129" t="s">
        <v>180</v>
      </c>
      <c r="E580" s="130" t="s">
        <v>3597</v>
      </c>
      <c r="F580" s="131" t="s">
        <v>3598</v>
      </c>
      <c r="G580" s="132" t="s">
        <v>332</v>
      </c>
      <c r="H580" s="133">
        <v>57.896</v>
      </c>
      <c r="I580" s="134"/>
      <c r="J580" s="135">
        <f>ROUND(I580*H580,2)</f>
        <v>0</v>
      </c>
      <c r="K580" s="131" t="s">
        <v>184</v>
      </c>
      <c r="L580" s="33"/>
      <c r="M580" s="136" t="s">
        <v>3</v>
      </c>
      <c r="N580" s="137" t="s">
        <v>48</v>
      </c>
      <c r="P580" s="138">
        <f>O580*H580</f>
        <v>0</v>
      </c>
      <c r="Q580" s="138">
        <v>4.5E-05</v>
      </c>
      <c r="R580" s="138">
        <f>Q580*H580</f>
        <v>0.0026053200000000004</v>
      </c>
      <c r="S580" s="138">
        <v>0</v>
      </c>
      <c r="T580" s="139">
        <f>S580*H580</f>
        <v>0</v>
      </c>
      <c r="AR580" s="140" t="s">
        <v>237</v>
      </c>
      <c r="AT580" s="140" t="s">
        <v>180</v>
      </c>
      <c r="AU580" s="140" t="s">
        <v>87</v>
      </c>
      <c r="AY580" s="18" t="s">
        <v>177</v>
      </c>
      <c r="BE580" s="141">
        <f>IF(N580="základní",J580,0)</f>
        <v>0</v>
      </c>
      <c r="BF580" s="141">
        <f>IF(N580="snížená",J580,0)</f>
        <v>0</v>
      </c>
      <c r="BG580" s="141">
        <f>IF(N580="zákl. přenesená",J580,0)</f>
        <v>0</v>
      </c>
      <c r="BH580" s="141">
        <f>IF(N580="sníž. přenesená",J580,0)</f>
        <v>0</v>
      </c>
      <c r="BI580" s="141">
        <f>IF(N580="nulová",J580,0)</f>
        <v>0</v>
      </c>
      <c r="BJ580" s="18" t="s">
        <v>85</v>
      </c>
      <c r="BK580" s="141">
        <f>ROUND(I580*H580,2)</f>
        <v>0</v>
      </c>
      <c r="BL580" s="18" t="s">
        <v>237</v>
      </c>
      <c r="BM580" s="140" t="s">
        <v>3599</v>
      </c>
    </row>
    <row r="581" spans="2:47" s="1" customFormat="1" ht="19.5">
      <c r="B581" s="33"/>
      <c r="D581" s="142" t="s">
        <v>187</v>
      </c>
      <c r="F581" s="143" t="s">
        <v>3600</v>
      </c>
      <c r="I581" s="144"/>
      <c r="L581" s="33"/>
      <c r="M581" s="145"/>
      <c r="T581" s="54"/>
      <c r="AT581" s="18" t="s">
        <v>187</v>
      </c>
      <c r="AU581" s="18" t="s">
        <v>87</v>
      </c>
    </row>
    <row r="582" spans="2:47" s="1" customFormat="1" ht="11.25">
      <c r="B582" s="33"/>
      <c r="D582" s="146" t="s">
        <v>189</v>
      </c>
      <c r="F582" s="147" t="s">
        <v>3601</v>
      </c>
      <c r="I582" s="144"/>
      <c r="L582" s="33"/>
      <c r="M582" s="145"/>
      <c r="T582" s="54"/>
      <c r="AT582" s="18" t="s">
        <v>189</v>
      </c>
      <c r="AU582" s="18" t="s">
        <v>87</v>
      </c>
    </row>
    <row r="583" spans="2:65" s="1" customFormat="1" ht="24.2" customHeight="1">
      <c r="B583" s="128"/>
      <c r="C583" s="129" t="s">
        <v>2779</v>
      </c>
      <c r="D583" s="129" t="s">
        <v>180</v>
      </c>
      <c r="E583" s="130" t="s">
        <v>3602</v>
      </c>
      <c r="F583" s="131" t="s">
        <v>3603</v>
      </c>
      <c r="G583" s="132" t="s">
        <v>183</v>
      </c>
      <c r="H583" s="133">
        <v>1.448</v>
      </c>
      <c r="I583" s="134"/>
      <c r="J583" s="135">
        <f>ROUND(I583*H583,2)</f>
        <v>0</v>
      </c>
      <c r="K583" s="131" t="s">
        <v>184</v>
      </c>
      <c r="L583" s="33"/>
      <c r="M583" s="136" t="s">
        <v>3</v>
      </c>
      <c r="N583" s="137" t="s">
        <v>48</v>
      </c>
      <c r="P583" s="138">
        <f>O583*H583</f>
        <v>0</v>
      </c>
      <c r="Q583" s="138">
        <v>0</v>
      </c>
      <c r="R583" s="138">
        <f>Q583*H583</f>
        <v>0</v>
      </c>
      <c r="S583" s="138">
        <v>0</v>
      </c>
      <c r="T583" s="139">
        <f>S583*H583</f>
        <v>0</v>
      </c>
      <c r="AR583" s="140" t="s">
        <v>237</v>
      </c>
      <c r="AT583" s="140" t="s">
        <v>180</v>
      </c>
      <c r="AU583" s="140" t="s">
        <v>87</v>
      </c>
      <c r="AY583" s="18" t="s">
        <v>177</v>
      </c>
      <c r="BE583" s="141">
        <f>IF(N583="základní",J583,0)</f>
        <v>0</v>
      </c>
      <c r="BF583" s="141">
        <f>IF(N583="snížená",J583,0)</f>
        <v>0</v>
      </c>
      <c r="BG583" s="141">
        <f>IF(N583="zákl. přenesená",J583,0)</f>
        <v>0</v>
      </c>
      <c r="BH583" s="141">
        <f>IF(N583="sníž. přenesená",J583,0)</f>
        <v>0</v>
      </c>
      <c r="BI583" s="141">
        <f>IF(N583="nulová",J583,0)</f>
        <v>0</v>
      </c>
      <c r="BJ583" s="18" t="s">
        <v>85</v>
      </c>
      <c r="BK583" s="141">
        <f>ROUND(I583*H583,2)</f>
        <v>0</v>
      </c>
      <c r="BL583" s="18" t="s">
        <v>237</v>
      </c>
      <c r="BM583" s="140" t="s">
        <v>3604</v>
      </c>
    </row>
    <row r="584" spans="2:47" s="1" customFormat="1" ht="29.25">
      <c r="B584" s="33"/>
      <c r="D584" s="142" t="s">
        <v>187</v>
      </c>
      <c r="F584" s="143" t="s">
        <v>3605</v>
      </c>
      <c r="I584" s="144"/>
      <c r="L584" s="33"/>
      <c r="M584" s="145"/>
      <c r="T584" s="54"/>
      <c r="AT584" s="18" t="s">
        <v>187</v>
      </c>
      <c r="AU584" s="18" t="s">
        <v>87</v>
      </c>
    </row>
    <row r="585" spans="2:47" s="1" customFormat="1" ht="11.25">
      <c r="B585" s="33"/>
      <c r="D585" s="146" t="s">
        <v>189</v>
      </c>
      <c r="F585" s="147" t="s">
        <v>3606</v>
      </c>
      <c r="I585" s="144"/>
      <c r="L585" s="33"/>
      <c r="M585" s="145"/>
      <c r="T585" s="54"/>
      <c r="AT585" s="18" t="s">
        <v>189</v>
      </c>
      <c r="AU585" s="18" t="s">
        <v>87</v>
      </c>
    </row>
    <row r="586" spans="2:47" s="1" customFormat="1" ht="126.75">
      <c r="B586" s="33"/>
      <c r="D586" s="142" t="s">
        <v>191</v>
      </c>
      <c r="F586" s="148" t="s">
        <v>762</v>
      </c>
      <c r="I586" s="144"/>
      <c r="L586" s="33"/>
      <c r="M586" s="145"/>
      <c r="T586" s="54"/>
      <c r="AT586" s="18" t="s">
        <v>191</v>
      </c>
      <c r="AU586" s="18" t="s">
        <v>87</v>
      </c>
    </row>
    <row r="587" spans="2:65" s="1" customFormat="1" ht="24.2" customHeight="1">
      <c r="B587" s="128"/>
      <c r="C587" s="129" t="s">
        <v>2781</v>
      </c>
      <c r="D587" s="129" t="s">
        <v>180</v>
      </c>
      <c r="E587" s="130" t="s">
        <v>3607</v>
      </c>
      <c r="F587" s="131" t="s">
        <v>3608</v>
      </c>
      <c r="G587" s="132" t="s">
        <v>183</v>
      </c>
      <c r="H587" s="133">
        <v>1.448</v>
      </c>
      <c r="I587" s="134"/>
      <c r="J587" s="135">
        <f>ROUND(I587*H587,2)</f>
        <v>0</v>
      </c>
      <c r="K587" s="131" t="s">
        <v>184</v>
      </c>
      <c r="L587" s="33"/>
      <c r="M587" s="136" t="s">
        <v>3</v>
      </c>
      <c r="N587" s="137" t="s">
        <v>48</v>
      </c>
      <c r="P587" s="138">
        <f>O587*H587</f>
        <v>0</v>
      </c>
      <c r="Q587" s="138">
        <v>0</v>
      </c>
      <c r="R587" s="138">
        <f>Q587*H587</f>
        <v>0</v>
      </c>
      <c r="S587" s="138">
        <v>0</v>
      </c>
      <c r="T587" s="139">
        <f>S587*H587</f>
        <v>0</v>
      </c>
      <c r="AR587" s="140" t="s">
        <v>237</v>
      </c>
      <c r="AT587" s="140" t="s">
        <v>180</v>
      </c>
      <c r="AU587" s="140" t="s">
        <v>87</v>
      </c>
      <c r="AY587" s="18" t="s">
        <v>177</v>
      </c>
      <c r="BE587" s="141">
        <f>IF(N587="základní",J587,0)</f>
        <v>0</v>
      </c>
      <c r="BF587" s="141">
        <f>IF(N587="snížená",J587,0)</f>
        <v>0</v>
      </c>
      <c r="BG587" s="141">
        <f>IF(N587="zákl. přenesená",J587,0)</f>
        <v>0</v>
      </c>
      <c r="BH587" s="141">
        <f>IF(N587="sníž. přenesená",J587,0)</f>
        <v>0</v>
      </c>
      <c r="BI587" s="141">
        <f>IF(N587="nulová",J587,0)</f>
        <v>0</v>
      </c>
      <c r="BJ587" s="18" t="s">
        <v>85</v>
      </c>
      <c r="BK587" s="141">
        <f>ROUND(I587*H587,2)</f>
        <v>0</v>
      </c>
      <c r="BL587" s="18" t="s">
        <v>237</v>
      </c>
      <c r="BM587" s="140" t="s">
        <v>3609</v>
      </c>
    </row>
    <row r="588" spans="2:47" s="1" customFormat="1" ht="29.25">
      <c r="B588" s="33"/>
      <c r="D588" s="142" t="s">
        <v>187</v>
      </c>
      <c r="F588" s="143" t="s">
        <v>3610</v>
      </c>
      <c r="I588" s="144"/>
      <c r="L588" s="33"/>
      <c r="M588" s="145"/>
      <c r="T588" s="54"/>
      <c r="AT588" s="18" t="s">
        <v>187</v>
      </c>
      <c r="AU588" s="18" t="s">
        <v>87</v>
      </c>
    </row>
    <row r="589" spans="2:47" s="1" customFormat="1" ht="11.25">
      <c r="B589" s="33"/>
      <c r="D589" s="146" t="s">
        <v>189</v>
      </c>
      <c r="F589" s="147" t="s">
        <v>3611</v>
      </c>
      <c r="I589" s="144"/>
      <c r="L589" s="33"/>
      <c r="M589" s="145"/>
      <c r="T589" s="54"/>
      <c r="AT589" s="18" t="s">
        <v>189</v>
      </c>
      <c r="AU589" s="18" t="s">
        <v>87</v>
      </c>
    </row>
    <row r="590" spans="2:47" s="1" customFormat="1" ht="126.75">
      <c r="B590" s="33"/>
      <c r="D590" s="142" t="s">
        <v>191</v>
      </c>
      <c r="F590" s="148" t="s">
        <v>762</v>
      </c>
      <c r="I590" s="144"/>
      <c r="L590" s="33"/>
      <c r="M590" s="145"/>
      <c r="T590" s="54"/>
      <c r="AT590" s="18" t="s">
        <v>191</v>
      </c>
      <c r="AU590" s="18" t="s">
        <v>87</v>
      </c>
    </row>
    <row r="591" spans="2:63" s="11" customFormat="1" ht="22.9" customHeight="1">
      <c r="B591" s="116"/>
      <c r="D591" s="117" t="s">
        <v>76</v>
      </c>
      <c r="E591" s="126" t="s">
        <v>1666</v>
      </c>
      <c r="F591" s="126" t="s">
        <v>1667</v>
      </c>
      <c r="I591" s="119"/>
      <c r="J591" s="127">
        <f>BK591</f>
        <v>0</v>
      </c>
      <c r="L591" s="116"/>
      <c r="M591" s="121"/>
      <c r="P591" s="122">
        <f>SUM(P592:P621)</f>
        <v>0</v>
      </c>
      <c r="R591" s="122">
        <f>SUM(R592:R621)</f>
        <v>0.0166767688</v>
      </c>
      <c r="T591" s="123">
        <f>SUM(T592:T621)</f>
        <v>0</v>
      </c>
      <c r="AR591" s="117" t="s">
        <v>87</v>
      </c>
      <c r="AT591" s="124" t="s">
        <v>76</v>
      </c>
      <c r="AU591" s="124" t="s">
        <v>85</v>
      </c>
      <c r="AY591" s="117" t="s">
        <v>177</v>
      </c>
      <c r="BK591" s="125">
        <f>SUM(BK592:BK621)</f>
        <v>0</v>
      </c>
    </row>
    <row r="592" spans="2:65" s="1" customFormat="1" ht="24.2" customHeight="1">
      <c r="B592" s="128"/>
      <c r="C592" s="129" t="s">
        <v>2788</v>
      </c>
      <c r="D592" s="129" t="s">
        <v>180</v>
      </c>
      <c r="E592" s="130" t="s">
        <v>3612</v>
      </c>
      <c r="F592" s="131" t="s">
        <v>3613</v>
      </c>
      <c r="G592" s="132" t="s">
        <v>332</v>
      </c>
      <c r="H592" s="133">
        <v>38.26</v>
      </c>
      <c r="I592" s="134"/>
      <c r="J592" s="135">
        <f>ROUND(I592*H592,2)</f>
        <v>0</v>
      </c>
      <c r="K592" s="131" t="s">
        <v>184</v>
      </c>
      <c r="L592" s="33"/>
      <c r="M592" s="136" t="s">
        <v>3</v>
      </c>
      <c r="N592" s="137" t="s">
        <v>48</v>
      </c>
      <c r="P592" s="138">
        <f>O592*H592</f>
        <v>0</v>
      </c>
      <c r="Q592" s="138">
        <v>8E-05</v>
      </c>
      <c r="R592" s="138">
        <f>Q592*H592</f>
        <v>0.0030608000000000002</v>
      </c>
      <c r="S592" s="138">
        <v>0</v>
      </c>
      <c r="T592" s="139">
        <f>S592*H592</f>
        <v>0</v>
      </c>
      <c r="AR592" s="140" t="s">
        <v>237</v>
      </c>
      <c r="AT592" s="140" t="s">
        <v>180</v>
      </c>
      <c r="AU592" s="140" t="s">
        <v>87</v>
      </c>
      <c r="AY592" s="18" t="s">
        <v>177</v>
      </c>
      <c r="BE592" s="141">
        <f>IF(N592="základní",J592,0)</f>
        <v>0</v>
      </c>
      <c r="BF592" s="141">
        <f>IF(N592="snížená",J592,0)</f>
        <v>0</v>
      </c>
      <c r="BG592" s="141">
        <f>IF(N592="zákl. přenesená",J592,0)</f>
        <v>0</v>
      </c>
      <c r="BH592" s="141">
        <f>IF(N592="sníž. přenesená",J592,0)</f>
        <v>0</v>
      </c>
      <c r="BI592" s="141">
        <f>IF(N592="nulová",J592,0)</f>
        <v>0</v>
      </c>
      <c r="BJ592" s="18" t="s">
        <v>85</v>
      </c>
      <c r="BK592" s="141">
        <f>ROUND(I592*H592,2)</f>
        <v>0</v>
      </c>
      <c r="BL592" s="18" t="s">
        <v>237</v>
      </c>
      <c r="BM592" s="140" t="s">
        <v>3614</v>
      </c>
    </row>
    <row r="593" spans="2:47" s="1" customFormat="1" ht="19.5">
      <c r="B593" s="33"/>
      <c r="D593" s="142" t="s">
        <v>187</v>
      </c>
      <c r="F593" s="143" t="s">
        <v>3615</v>
      </c>
      <c r="I593" s="144"/>
      <c r="L593" s="33"/>
      <c r="M593" s="145"/>
      <c r="T593" s="54"/>
      <c r="AT593" s="18" t="s">
        <v>187</v>
      </c>
      <c r="AU593" s="18" t="s">
        <v>87</v>
      </c>
    </row>
    <row r="594" spans="2:47" s="1" customFormat="1" ht="11.25">
      <c r="B594" s="33"/>
      <c r="D594" s="146" t="s">
        <v>189</v>
      </c>
      <c r="F594" s="147" t="s">
        <v>3616</v>
      </c>
      <c r="I594" s="144"/>
      <c r="L594" s="33"/>
      <c r="M594" s="145"/>
      <c r="T594" s="54"/>
      <c r="AT594" s="18" t="s">
        <v>189</v>
      </c>
      <c r="AU594" s="18" t="s">
        <v>87</v>
      </c>
    </row>
    <row r="595" spans="2:65" s="1" customFormat="1" ht="16.5" customHeight="1">
      <c r="B595" s="128"/>
      <c r="C595" s="129" t="s">
        <v>2794</v>
      </c>
      <c r="D595" s="129" t="s">
        <v>180</v>
      </c>
      <c r="E595" s="130" t="s">
        <v>1678</v>
      </c>
      <c r="F595" s="131" t="s">
        <v>1679</v>
      </c>
      <c r="G595" s="132" t="s">
        <v>332</v>
      </c>
      <c r="H595" s="133">
        <v>38.26</v>
      </c>
      <c r="I595" s="134"/>
      <c r="J595" s="135">
        <f>ROUND(I595*H595,2)</f>
        <v>0</v>
      </c>
      <c r="K595" s="131" t="s">
        <v>184</v>
      </c>
      <c r="L595" s="33"/>
      <c r="M595" s="136" t="s">
        <v>3</v>
      </c>
      <c r="N595" s="137" t="s">
        <v>48</v>
      </c>
      <c r="P595" s="138">
        <f>O595*H595</f>
        <v>0</v>
      </c>
      <c r="Q595" s="138">
        <v>0</v>
      </c>
      <c r="R595" s="138">
        <f>Q595*H595</f>
        <v>0</v>
      </c>
      <c r="S595" s="138">
        <v>0</v>
      </c>
      <c r="T595" s="139">
        <f>S595*H595</f>
        <v>0</v>
      </c>
      <c r="AR595" s="140" t="s">
        <v>237</v>
      </c>
      <c r="AT595" s="140" t="s">
        <v>180</v>
      </c>
      <c r="AU595" s="140" t="s">
        <v>87</v>
      </c>
      <c r="AY595" s="18" t="s">
        <v>177</v>
      </c>
      <c r="BE595" s="141">
        <f>IF(N595="základní",J595,0)</f>
        <v>0</v>
      </c>
      <c r="BF595" s="141">
        <f>IF(N595="snížená",J595,0)</f>
        <v>0</v>
      </c>
      <c r="BG595" s="141">
        <f>IF(N595="zákl. přenesená",J595,0)</f>
        <v>0</v>
      </c>
      <c r="BH595" s="141">
        <f>IF(N595="sníž. přenesená",J595,0)</f>
        <v>0</v>
      </c>
      <c r="BI595" s="141">
        <f>IF(N595="nulová",J595,0)</f>
        <v>0</v>
      </c>
      <c r="BJ595" s="18" t="s">
        <v>85</v>
      </c>
      <c r="BK595" s="141">
        <f>ROUND(I595*H595,2)</f>
        <v>0</v>
      </c>
      <c r="BL595" s="18" t="s">
        <v>237</v>
      </c>
      <c r="BM595" s="140" t="s">
        <v>3617</v>
      </c>
    </row>
    <row r="596" spans="2:47" s="1" customFormat="1" ht="19.5">
      <c r="B596" s="33"/>
      <c r="D596" s="142" t="s">
        <v>187</v>
      </c>
      <c r="F596" s="143" t="s">
        <v>1681</v>
      </c>
      <c r="I596" s="144"/>
      <c r="L596" s="33"/>
      <c r="M596" s="145"/>
      <c r="T596" s="54"/>
      <c r="AT596" s="18" t="s">
        <v>187</v>
      </c>
      <c r="AU596" s="18" t="s">
        <v>87</v>
      </c>
    </row>
    <row r="597" spans="2:47" s="1" customFormat="1" ht="11.25">
      <c r="B597" s="33"/>
      <c r="D597" s="146" t="s">
        <v>189</v>
      </c>
      <c r="F597" s="147" t="s">
        <v>1682</v>
      </c>
      <c r="I597" s="144"/>
      <c r="L597" s="33"/>
      <c r="M597" s="145"/>
      <c r="T597" s="54"/>
      <c r="AT597" s="18" t="s">
        <v>189</v>
      </c>
      <c r="AU597" s="18" t="s">
        <v>87</v>
      </c>
    </row>
    <row r="598" spans="2:65" s="1" customFormat="1" ht="24.2" customHeight="1">
      <c r="B598" s="128"/>
      <c r="C598" s="129" t="s">
        <v>2796</v>
      </c>
      <c r="D598" s="129" t="s">
        <v>180</v>
      </c>
      <c r="E598" s="130" t="s">
        <v>1683</v>
      </c>
      <c r="F598" s="131" t="s">
        <v>1684</v>
      </c>
      <c r="G598" s="132" t="s">
        <v>332</v>
      </c>
      <c r="H598" s="133">
        <v>38.26</v>
      </c>
      <c r="I598" s="134"/>
      <c r="J598" s="135">
        <f>ROUND(I598*H598,2)</f>
        <v>0</v>
      </c>
      <c r="K598" s="131" t="s">
        <v>184</v>
      </c>
      <c r="L598" s="33"/>
      <c r="M598" s="136" t="s">
        <v>3</v>
      </c>
      <c r="N598" s="137" t="s">
        <v>48</v>
      </c>
      <c r="P598" s="138">
        <f>O598*H598</f>
        <v>0</v>
      </c>
      <c r="Q598" s="138">
        <v>0.000135</v>
      </c>
      <c r="R598" s="138">
        <f>Q598*H598</f>
        <v>0.0051651</v>
      </c>
      <c r="S598" s="138">
        <v>0</v>
      </c>
      <c r="T598" s="139">
        <f>S598*H598</f>
        <v>0</v>
      </c>
      <c r="AR598" s="140" t="s">
        <v>237</v>
      </c>
      <c r="AT598" s="140" t="s">
        <v>180</v>
      </c>
      <c r="AU598" s="140" t="s">
        <v>87</v>
      </c>
      <c r="AY598" s="18" t="s">
        <v>177</v>
      </c>
      <c r="BE598" s="141">
        <f>IF(N598="základní",J598,0)</f>
        <v>0</v>
      </c>
      <c r="BF598" s="141">
        <f>IF(N598="snížená",J598,0)</f>
        <v>0</v>
      </c>
      <c r="BG598" s="141">
        <f>IF(N598="zákl. přenesená",J598,0)</f>
        <v>0</v>
      </c>
      <c r="BH598" s="141">
        <f>IF(N598="sníž. přenesená",J598,0)</f>
        <v>0</v>
      </c>
      <c r="BI598" s="141">
        <f>IF(N598="nulová",J598,0)</f>
        <v>0</v>
      </c>
      <c r="BJ598" s="18" t="s">
        <v>85</v>
      </c>
      <c r="BK598" s="141">
        <f>ROUND(I598*H598,2)</f>
        <v>0</v>
      </c>
      <c r="BL598" s="18" t="s">
        <v>237</v>
      </c>
      <c r="BM598" s="140" t="s">
        <v>3618</v>
      </c>
    </row>
    <row r="599" spans="2:47" s="1" customFormat="1" ht="19.5">
      <c r="B599" s="33"/>
      <c r="D599" s="142" t="s">
        <v>187</v>
      </c>
      <c r="F599" s="143" t="s">
        <v>1686</v>
      </c>
      <c r="I599" s="144"/>
      <c r="L599" s="33"/>
      <c r="M599" s="145"/>
      <c r="T599" s="54"/>
      <c r="AT599" s="18" t="s">
        <v>187</v>
      </c>
      <c r="AU599" s="18" t="s">
        <v>87</v>
      </c>
    </row>
    <row r="600" spans="2:47" s="1" customFormat="1" ht="11.25">
      <c r="B600" s="33"/>
      <c r="D600" s="146" t="s">
        <v>189</v>
      </c>
      <c r="F600" s="147" t="s">
        <v>1687</v>
      </c>
      <c r="I600" s="144"/>
      <c r="L600" s="33"/>
      <c r="M600" s="145"/>
      <c r="T600" s="54"/>
      <c r="AT600" s="18" t="s">
        <v>189</v>
      </c>
      <c r="AU600" s="18" t="s">
        <v>87</v>
      </c>
    </row>
    <row r="601" spans="2:65" s="1" customFormat="1" ht="24.2" customHeight="1">
      <c r="B601" s="128"/>
      <c r="C601" s="129" t="s">
        <v>2804</v>
      </c>
      <c r="D601" s="129" t="s">
        <v>180</v>
      </c>
      <c r="E601" s="130" t="s">
        <v>3619</v>
      </c>
      <c r="F601" s="131" t="s">
        <v>3620</v>
      </c>
      <c r="G601" s="132" t="s">
        <v>332</v>
      </c>
      <c r="H601" s="133">
        <v>38.26</v>
      </c>
      <c r="I601" s="134"/>
      <c r="J601" s="135">
        <f>ROUND(I601*H601,2)</f>
        <v>0</v>
      </c>
      <c r="K601" s="131" t="s">
        <v>184</v>
      </c>
      <c r="L601" s="33"/>
      <c r="M601" s="136" t="s">
        <v>3</v>
      </c>
      <c r="N601" s="137" t="s">
        <v>48</v>
      </c>
      <c r="P601" s="138">
        <f>O601*H601</f>
        <v>0</v>
      </c>
      <c r="Q601" s="138">
        <v>0.000135</v>
      </c>
      <c r="R601" s="138">
        <f>Q601*H601</f>
        <v>0.0051651</v>
      </c>
      <c r="S601" s="138">
        <v>0</v>
      </c>
      <c r="T601" s="139">
        <f>S601*H601</f>
        <v>0</v>
      </c>
      <c r="AR601" s="140" t="s">
        <v>237</v>
      </c>
      <c r="AT601" s="140" t="s">
        <v>180</v>
      </c>
      <c r="AU601" s="140" t="s">
        <v>87</v>
      </c>
      <c r="AY601" s="18" t="s">
        <v>177</v>
      </c>
      <c r="BE601" s="141">
        <f>IF(N601="základní",J601,0)</f>
        <v>0</v>
      </c>
      <c r="BF601" s="141">
        <f>IF(N601="snížená",J601,0)</f>
        <v>0</v>
      </c>
      <c r="BG601" s="141">
        <f>IF(N601="zákl. přenesená",J601,0)</f>
        <v>0</v>
      </c>
      <c r="BH601" s="141">
        <f>IF(N601="sníž. přenesená",J601,0)</f>
        <v>0</v>
      </c>
      <c r="BI601" s="141">
        <f>IF(N601="nulová",J601,0)</f>
        <v>0</v>
      </c>
      <c r="BJ601" s="18" t="s">
        <v>85</v>
      </c>
      <c r="BK601" s="141">
        <f>ROUND(I601*H601,2)</f>
        <v>0</v>
      </c>
      <c r="BL601" s="18" t="s">
        <v>237</v>
      </c>
      <c r="BM601" s="140" t="s">
        <v>3621</v>
      </c>
    </row>
    <row r="602" spans="2:47" s="1" customFormat="1" ht="19.5">
      <c r="B602" s="33"/>
      <c r="D602" s="142" t="s">
        <v>187</v>
      </c>
      <c r="F602" s="143" t="s">
        <v>3622</v>
      </c>
      <c r="I602" s="144"/>
      <c r="L602" s="33"/>
      <c r="M602" s="145"/>
      <c r="T602" s="54"/>
      <c r="AT602" s="18" t="s">
        <v>187</v>
      </c>
      <c r="AU602" s="18" t="s">
        <v>87</v>
      </c>
    </row>
    <row r="603" spans="2:47" s="1" customFormat="1" ht="11.25">
      <c r="B603" s="33"/>
      <c r="D603" s="146" t="s">
        <v>189</v>
      </c>
      <c r="F603" s="147" t="s">
        <v>3623</v>
      </c>
      <c r="I603" s="144"/>
      <c r="L603" s="33"/>
      <c r="M603" s="145"/>
      <c r="T603" s="54"/>
      <c r="AT603" s="18" t="s">
        <v>189</v>
      </c>
      <c r="AU603" s="18" t="s">
        <v>87</v>
      </c>
    </row>
    <row r="604" spans="2:65" s="1" customFormat="1" ht="24.2" customHeight="1">
      <c r="B604" s="128"/>
      <c r="C604" s="129" t="s">
        <v>2810</v>
      </c>
      <c r="D604" s="129" t="s">
        <v>180</v>
      </c>
      <c r="E604" s="130" t="s">
        <v>3624</v>
      </c>
      <c r="F604" s="131" t="s">
        <v>3625</v>
      </c>
      <c r="G604" s="132" t="s">
        <v>332</v>
      </c>
      <c r="H604" s="133">
        <v>38.26</v>
      </c>
      <c r="I604" s="134"/>
      <c r="J604" s="135">
        <f>ROUND(I604*H604,2)</f>
        <v>0</v>
      </c>
      <c r="K604" s="131" t="s">
        <v>184</v>
      </c>
      <c r="L604" s="33"/>
      <c r="M604" s="136" t="s">
        <v>3</v>
      </c>
      <c r="N604" s="137" t="s">
        <v>48</v>
      </c>
      <c r="P604" s="138">
        <f>O604*H604</f>
        <v>0</v>
      </c>
      <c r="Q604" s="138">
        <v>8.588E-05</v>
      </c>
      <c r="R604" s="138">
        <f>Q604*H604</f>
        <v>0.0032857688</v>
      </c>
      <c r="S604" s="138">
        <v>0</v>
      </c>
      <c r="T604" s="139">
        <f>S604*H604</f>
        <v>0</v>
      </c>
      <c r="AR604" s="140" t="s">
        <v>237</v>
      </c>
      <c r="AT604" s="140" t="s">
        <v>180</v>
      </c>
      <c r="AU604" s="140" t="s">
        <v>87</v>
      </c>
      <c r="AY604" s="18" t="s">
        <v>177</v>
      </c>
      <c r="BE604" s="141">
        <f>IF(N604="základní",J604,0)</f>
        <v>0</v>
      </c>
      <c r="BF604" s="141">
        <f>IF(N604="snížená",J604,0)</f>
        <v>0</v>
      </c>
      <c r="BG604" s="141">
        <f>IF(N604="zákl. přenesená",J604,0)</f>
        <v>0</v>
      </c>
      <c r="BH604" s="141">
        <f>IF(N604="sníž. přenesená",J604,0)</f>
        <v>0</v>
      </c>
      <c r="BI604" s="141">
        <f>IF(N604="nulová",J604,0)</f>
        <v>0</v>
      </c>
      <c r="BJ604" s="18" t="s">
        <v>85</v>
      </c>
      <c r="BK604" s="141">
        <f>ROUND(I604*H604,2)</f>
        <v>0</v>
      </c>
      <c r="BL604" s="18" t="s">
        <v>237</v>
      </c>
      <c r="BM604" s="140" t="s">
        <v>3626</v>
      </c>
    </row>
    <row r="605" spans="2:47" s="1" customFormat="1" ht="19.5">
      <c r="B605" s="33"/>
      <c r="D605" s="142" t="s">
        <v>187</v>
      </c>
      <c r="F605" s="143" t="s">
        <v>3627</v>
      </c>
      <c r="I605" s="144"/>
      <c r="L605" s="33"/>
      <c r="M605" s="145"/>
      <c r="T605" s="54"/>
      <c r="AT605" s="18" t="s">
        <v>187</v>
      </c>
      <c r="AU605" s="18" t="s">
        <v>87</v>
      </c>
    </row>
    <row r="606" spans="2:47" s="1" customFormat="1" ht="11.25">
      <c r="B606" s="33"/>
      <c r="D606" s="146" t="s">
        <v>189</v>
      </c>
      <c r="F606" s="147" t="s">
        <v>3628</v>
      </c>
      <c r="I606" s="144"/>
      <c r="L606" s="33"/>
      <c r="M606" s="145"/>
      <c r="T606" s="54"/>
      <c r="AT606" s="18" t="s">
        <v>189</v>
      </c>
      <c r="AU606" s="18" t="s">
        <v>87</v>
      </c>
    </row>
    <row r="607" spans="2:51" s="13" customFormat="1" ht="11.25">
      <c r="B607" s="156"/>
      <c r="D607" s="142" t="s">
        <v>193</v>
      </c>
      <c r="E607" s="157" t="s">
        <v>3</v>
      </c>
      <c r="F607" s="158" t="s">
        <v>3629</v>
      </c>
      <c r="H607" s="157" t="s">
        <v>3</v>
      </c>
      <c r="I607" s="159"/>
      <c r="L607" s="156"/>
      <c r="M607" s="160"/>
      <c r="T607" s="161"/>
      <c r="AT607" s="157" t="s">
        <v>193</v>
      </c>
      <c r="AU607" s="157" t="s">
        <v>87</v>
      </c>
      <c r="AV607" s="13" t="s">
        <v>85</v>
      </c>
      <c r="AW607" s="13" t="s">
        <v>36</v>
      </c>
      <c r="AX607" s="13" t="s">
        <v>77</v>
      </c>
      <c r="AY607" s="157" t="s">
        <v>177</v>
      </c>
    </row>
    <row r="608" spans="2:51" s="12" customFormat="1" ht="11.25">
      <c r="B608" s="149"/>
      <c r="D608" s="142" t="s">
        <v>193</v>
      </c>
      <c r="E608" s="150" t="s">
        <v>3</v>
      </c>
      <c r="F608" s="151" t="s">
        <v>3630</v>
      </c>
      <c r="H608" s="152">
        <v>6.72</v>
      </c>
      <c r="I608" s="153"/>
      <c r="L608" s="149"/>
      <c r="M608" s="154"/>
      <c r="T608" s="155"/>
      <c r="AT608" s="150" t="s">
        <v>193</v>
      </c>
      <c r="AU608" s="150" t="s">
        <v>87</v>
      </c>
      <c r="AV608" s="12" t="s">
        <v>87</v>
      </c>
      <c r="AW608" s="12" t="s">
        <v>36</v>
      </c>
      <c r="AX608" s="12" t="s">
        <v>77</v>
      </c>
      <c r="AY608" s="150" t="s">
        <v>177</v>
      </c>
    </row>
    <row r="609" spans="2:51" s="12" customFormat="1" ht="11.25">
      <c r="B609" s="149"/>
      <c r="D609" s="142" t="s">
        <v>193</v>
      </c>
      <c r="E609" s="150" t="s">
        <v>3</v>
      </c>
      <c r="F609" s="151" t="s">
        <v>3631</v>
      </c>
      <c r="H609" s="152">
        <v>2.4</v>
      </c>
      <c r="I609" s="153"/>
      <c r="L609" s="149"/>
      <c r="M609" s="154"/>
      <c r="T609" s="155"/>
      <c r="AT609" s="150" t="s">
        <v>193</v>
      </c>
      <c r="AU609" s="150" t="s">
        <v>87</v>
      </c>
      <c r="AV609" s="12" t="s">
        <v>87</v>
      </c>
      <c r="AW609" s="12" t="s">
        <v>36</v>
      </c>
      <c r="AX609" s="12" t="s">
        <v>77</v>
      </c>
      <c r="AY609" s="150" t="s">
        <v>177</v>
      </c>
    </row>
    <row r="610" spans="2:51" s="12" customFormat="1" ht="11.25">
      <c r="B610" s="149"/>
      <c r="D610" s="142" t="s">
        <v>193</v>
      </c>
      <c r="E610" s="150" t="s">
        <v>3</v>
      </c>
      <c r="F610" s="151" t="s">
        <v>3632</v>
      </c>
      <c r="H610" s="152">
        <v>0.72</v>
      </c>
      <c r="I610" s="153"/>
      <c r="L610" s="149"/>
      <c r="M610" s="154"/>
      <c r="T610" s="155"/>
      <c r="AT610" s="150" t="s">
        <v>193</v>
      </c>
      <c r="AU610" s="150" t="s">
        <v>87</v>
      </c>
      <c r="AV610" s="12" t="s">
        <v>87</v>
      </c>
      <c r="AW610" s="12" t="s">
        <v>36</v>
      </c>
      <c r="AX610" s="12" t="s">
        <v>77</v>
      </c>
      <c r="AY610" s="150" t="s">
        <v>177</v>
      </c>
    </row>
    <row r="611" spans="2:51" s="12" customFormat="1" ht="11.25">
      <c r="B611" s="149"/>
      <c r="D611" s="142" t="s">
        <v>193</v>
      </c>
      <c r="E611" s="150" t="s">
        <v>3</v>
      </c>
      <c r="F611" s="151" t="s">
        <v>3633</v>
      </c>
      <c r="H611" s="152">
        <v>1.225</v>
      </c>
      <c r="I611" s="153"/>
      <c r="L611" s="149"/>
      <c r="M611" s="154"/>
      <c r="T611" s="155"/>
      <c r="AT611" s="150" t="s">
        <v>193</v>
      </c>
      <c r="AU611" s="150" t="s">
        <v>87</v>
      </c>
      <c r="AV611" s="12" t="s">
        <v>87</v>
      </c>
      <c r="AW611" s="12" t="s">
        <v>36</v>
      </c>
      <c r="AX611" s="12" t="s">
        <v>77</v>
      </c>
      <c r="AY611" s="150" t="s">
        <v>177</v>
      </c>
    </row>
    <row r="612" spans="2:51" s="12" customFormat="1" ht="11.25">
      <c r="B612" s="149"/>
      <c r="D612" s="142" t="s">
        <v>193</v>
      </c>
      <c r="E612" s="150" t="s">
        <v>3</v>
      </c>
      <c r="F612" s="151" t="s">
        <v>3634</v>
      </c>
      <c r="H612" s="152">
        <v>2.35</v>
      </c>
      <c r="I612" s="153"/>
      <c r="L612" s="149"/>
      <c r="M612" s="154"/>
      <c r="T612" s="155"/>
      <c r="AT612" s="150" t="s">
        <v>193</v>
      </c>
      <c r="AU612" s="150" t="s">
        <v>87</v>
      </c>
      <c r="AV612" s="12" t="s">
        <v>87</v>
      </c>
      <c r="AW612" s="12" t="s">
        <v>36</v>
      </c>
      <c r="AX612" s="12" t="s">
        <v>77</v>
      </c>
      <c r="AY612" s="150" t="s">
        <v>177</v>
      </c>
    </row>
    <row r="613" spans="2:51" s="12" customFormat="1" ht="11.25">
      <c r="B613" s="149"/>
      <c r="D613" s="142" t="s">
        <v>193</v>
      </c>
      <c r="E613" s="150" t="s">
        <v>3</v>
      </c>
      <c r="F613" s="151" t="s">
        <v>3635</v>
      </c>
      <c r="H613" s="152">
        <v>3.525</v>
      </c>
      <c r="I613" s="153"/>
      <c r="L613" s="149"/>
      <c r="M613" s="154"/>
      <c r="T613" s="155"/>
      <c r="AT613" s="150" t="s">
        <v>193</v>
      </c>
      <c r="AU613" s="150" t="s">
        <v>87</v>
      </c>
      <c r="AV613" s="12" t="s">
        <v>87</v>
      </c>
      <c r="AW613" s="12" t="s">
        <v>36</v>
      </c>
      <c r="AX613" s="12" t="s">
        <v>77</v>
      </c>
      <c r="AY613" s="150" t="s">
        <v>177</v>
      </c>
    </row>
    <row r="614" spans="2:51" s="12" customFormat="1" ht="11.25">
      <c r="B614" s="149"/>
      <c r="D614" s="142" t="s">
        <v>193</v>
      </c>
      <c r="E614" s="150" t="s">
        <v>3</v>
      </c>
      <c r="F614" s="151" t="s">
        <v>3636</v>
      </c>
      <c r="H614" s="152">
        <v>3.72</v>
      </c>
      <c r="I614" s="153"/>
      <c r="L614" s="149"/>
      <c r="M614" s="154"/>
      <c r="T614" s="155"/>
      <c r="AT614" s="150" t="s">
        <v>193</v>
      </c>
      <c r="AU614" s="150" t="s">
        <v>87</v>
      </c>
      <c r="AV614" s="12" t="s">
        <v>87</v>
      </c>
      <c r="AW614" s="12" t="s">
        <v>36</v>
      </c>
      <c r="AX614" s="12" t="s">
        <v>77</v>
      </c>
      <c r="AY614" s="150" t="s">
        <v>177</v>
      </c>
    </row>
    <row r="615" spans="2:51" s="14" customFormat="1" ht="11.25">
      <c r="B615" s="162"/>
      <c r="D615" s="142" t="s">
        <v>193</v>
      </c>
      <c r="E615" s="163" t="s">
        <v>3</v>
      </c>
      <c r="F615" s="164" t="s">
        <v>197</v>
      </c>
      <c r="H615" s="165">
        <v>20.66</v>
      </c>
      <c r="I615" s="166"/>
      <c r="L615" s="162"/>
      <c r="M615" s="167"/>
      <c r="T615" s="168"/>
      <c r="AT615" s="163" t="s">
        <v>193</v>
      </c>
      <c r="AU615" s="163" t="s">
        <v>87</v>
      </c>
      <c r="AV615" s="14" t="s">
        <v>198</v>
      </c>
      <c r="AW615" s="14" t="s">
        <v>36</v>
      </c>
      <c r="AX615" s="14" t="s">
        <v>77</v>
      </c>
      <c r="AY615" s="163" t="s">
        <v>177</v>
      </c>
    </row>
    <row r="616" spans="2:51" s="12" customFormat="1" ht="11.25">
      <c r="B616" s="149"/>
      <c r="D616" s="142" t="s">
        <v>193</v>
      </c>
      <c r="E616" s="150" t="s">
        <v>3</v>
      </c>
      <c r="F616" s="151" t="s">
        <v>3637</v>
      </c>
      <c r="H616" s="152">
        <v>8.64</v>
      </c>
      <c r="I616" s="153"/>
      <c r="L616" s="149"/>
      <c r="M616" s="154"/>
      <c r="T616" s="155"/>
      <c r="AT616" s="150" t="s">
        <v>193</v>
      </c>
      <c r="AU616" s="150" t="s">
        <v>87</v>
      </c>
      <c r="AV616" s="12" t="s">
        <v>87</v>
      </c>
      <c r="AW616" s="12" t="s">
        <v>36</v>
      </c>
      <c r="AX616" s="12" t="s">
        <v>77</v>
      </c>
      <c r="AY616" s="150" t="s">
        <v>177</v>
      </c>
    </row>
    <row r="617" spans="2:51" s="12" customFormat="1" ht="11.25">
      <c r="B617" s="149"/>
      <c r="D617" s="142" t="s">
        <v>193</v>
      </c>
      <c r="E617" s="150" t="s">
        <v>3</v>
      </c>
      <c r="F617" s="151" t="s">
        <v>3638</v>
      </c>
      <c r="H617" s="152">
        <v>0.735</v>
      </c>
      <c r="I617" s="153"/>
      <c r="L617" s="149"/>
      <c r="M617" s="154"/>
      <c r="T617" s="155"/>
      <c r="AT617" s="150" t="s">
        <v>193</v>
      </c>
      <c r="AU617" s="150" t="s">
        <v>87</v>
      </c>
      <c r="AV617" s="12" t="s">
        <v>87</v>
      </c>
      <c r="AW617" s="12" t="s">
        <v>36</v>
      </c>
      <c r="AX617" s="12" t="s">
        <v>77</v>
      </c>
      <c r="AY617" s="150" t="s">
        <v>177</v>
      </c>
    </row>
    <row r="618" spans="2:51" s="12" customFormat="1" ht="11.25">
      <c r="B618" s="149"/>
      <c r="D618" s="142" t="s">
        <v>193</v>
      </c>
      <c r="E618" s="150" t="s">
        <v>3</v>
      </c>
      <c r="F618" s="151" t="s">
        <v>3634</v>
      </c>
      <c r="H618" s="152">
        <v>2.35</v>
      </c>
      <c r="I618" s="153"/>
      <c r="L618" s="149"/>
      <c r="M618" s="154"/>
      <c r="T618" s="155"/>
      <c r="AT618" s="150" t="s">
        <v>193</v>
      </c>
      <c r="AU618" s="150" t="s">
        <v>87</v>
      </c>
      <c r="AV618" s="12" t="s">
        <v>87</v>
      </c>
      <c r="AW618" s="12" t="s">
        <v>36</v>
      </c>
      <c r="AX618" s="12" t="s">
        <v>77</v>
      </c>
      <c r="AY618" s="150" t="s">
        <v>177</v>
      </c>
    </row>
    <row r="619" spans="2:51" s="12" customFormat="1" ht="11.25">
      <c r="B619" s="149"/>
      <c r="D619" s="142" t="s">
        <v>193</v>
      </c>
      <c r="E619" s="150" t="s">
        <v>3</v>
      </c>
      <c r="F619" s="151" t="s">
        <v>3639</v>
      </c>
      <c r="H619" s="152">
        <v>5.875</v>
      </c>
      <c r="I619" s="153"/>
      <c r="L619" s="149"/>
      <c r="M619" s="154"/>
      <c r="T619" s="155"/>
      <c r="AT619" s="150" t="s">
        <v>193</v>
      </c>
      <c r="AU619" s="150" t="s">
        <v>87</v>
      </c>
      <c r="AV619" s="12" t="s">
        <v>87</v>
      </c>
      <c r="AW619" s="12" t="s">
        <v>36</v>
      </c>
      <c r="AX619" s="12" t="s">
        <v>77</v>
      </c>
      <c r="AY619" s="150" t="s">
        <v>177</v>
      </c>
    </row>
    <row r="620" spans="2:51" s="14" customFormat="1" ht="11.25">
      <c r="B620" s="162"/>
      <c r="D620" s="142" t="s">
        <v>193</v>
      </c>
      <c r="E620" s="163" t="s">
        <v>3</v>
      </c>
      <c r="F620" s="164" t="s">
        <v>197</v>
      </c>
      <c r="H620" s="165">
        <v>17.6</v>
      </c>
      <c r="I620" s="166"/>
      <c r="L620" s="162"/>
      <c r="M620" s="167"/>
      <c r="T620" s="168"/>
      <c r="AT620" s="163" t="s">
        <v>193</v>
      </c>
      <c r="AU620" s="163" t="s">
        <v>87</v>
      </c>
      <c r="AV620" s="14" t="s">
        <v>198</v>
      </c>
      <c r="AW620" s="14" t="s">
        <v>36</v>
      </c>
      <c r="AX620" s="14" t="s">
        <v>77</v>
      </c>
      <c r="AY620" s="163" t="s">
        <v>177</v>
      </c>
    </row>
    <row r="621" spans="2:51" s="15" customFormat="1" ht="11.25">
      <c r="B621" s="169"/>
      <c r="D621" s="142" t="s">
        <v>193</v>
      </c>
      <c r="E621" s="170" t="s">
        <v>3</v>
      </c>
      <c r="F621" s="171" t="s">
        <v>201</v>
      </c>
      <c r="H621" s="172">
        <v>38.26</v>
      </c>
      <c r="I621" s="173"/>
      <c r="L621" s="169"/>
      <c r="M621" s="174"/>
      <c r="T621" s="175"/>
      <c r="AT621" s="170" t="s">
        <v>193</v>
      </c>
      <c r="AU621" s="170" t="s">
        <v>87</v>
      </c>
      <c r="AV621" s="15" t="s">
        <v>185</v>
      </c>
      <c r="AW621" s="15" t="s">
        <v>36</v>
      </c>
      <c r="AX621" s="15" t="s">
        <v>85</v>
      </c>
      <c r="AY621" s="170" t="s">
        <v>177</v>
      </c>
    </row>
    <row r="622" spans="2:63" s="11" customFormat="1" ht="22.9" customHeight="1">
      <c r="B622" s="116"/>
      <c r="D622" s="117" t="s">
        <v>76</v>
      </c>
      <c r="E622" s="126" t="s">
        <v>3640</v>
      </c>
      <c r="F622" s="126" t="s">
        <v>3641</v>
      </c>
      <c r="I622" s="119"/>
      <c r="J622" s="127">
        <f>BK622</f>
        <v>0</v>
      </c>
      <c r="L622" s="116"/>
      <c r="M622" s="121"/>
      <c r="P622" s="122">
        <f>SUM(P623:P669)</f>
        <v>0</v>
      </c>
      <c r="R622" s="122">
        <f>SUM(R623:R669)</f>
        <v>1.0813860867</v>
      </c>
      <c r="T622" s="123">
        <f>SUM(T623:T669)</f>
        <v>0</v>
      </c>
      <c r="AR622" s="117" t="s">
        <v>87</v>
      </c>
      <c r="AT622" s="124" t="s">
        <v>76</v>
      </c>
      <c r="AU622" s="124" t="s">
        <v>85</v>
      </c>
      <c r="AY622" s="117" t="s">
        <v>177</v>
      </c>
      <c r="BK622" s="125">
        <f>SUM(BK623:BK669)</f>
        <v>0</v>
      </c>
    </row>
    <row r="623" spans="2:65" s="1" customFormat="1" ht="24.2" customHeight="1">
      <c r="B623" s="128"/>
      <c r="C623" s="129" t="s">
        <v>2816</v>
      </c>
      <c r="D623" s="129" t="s">
        <v>180</v>
      </c>
      <c r="E623" s="130" t="s">
        <v>3642</v>
      </c>
      <c r="F623" s="131" t="s">
        <v>3643</v>
      </c>
      <c r="G623" s="132" t="s">
        <v>332</v>
      </c>
      <c r="H623" s="133">
        <v>2201.244</v>
      </c>
      <c r="I623" s="134"/>
      <c r="J623" s="135">
        <f>ROUND(I623*H623,2)</f>
        <v>0</v>
      </c>
      <c r="K623" s="131" t="s">
        <v>184</v>
      </c>
      <c r="L623" s="33"/>
      <c r="M623" s="136" t="s">
        <v>3</v>
      </c>
      <c r="N623" s="137" t="s">
        <v>48</v>
      </c>
      <c r="P623" s="138">
        <f>O623*H623</f>
        <v>0</v>
      </c>
      <c r="Q623" s="138">
        <v>0</v>
      </c>
      <c r="R623" s="138">
        <f>Q623*H623</f>
        <v>0</v>
      </c>
      <c r="S623" s="138">
        <v>0</v>
      </c>
      <c r="T623" s="139">
        <f>S623*H623</f>
        <v>0</v>
      </c>
      <c r="AR623" s="140" t="s">
        <v>237</v>
      </c>
      <c r="AT623" s="140" t="s">
        <v>180</v>
      </c>
      <c r="AU623" s="140" t="s">
        <v>87</v>
      </c>
      <c r="AY623" s="18" t="s">
        <v>177</v>
      </c>
      <c r="BE623" s="141">
        <f>IF(N623="základní",J623,0)</f>
        <v>0</v>
      </c>
      <c r="BF623" s="141">
        <f>IF(N623="snížená",J623,0)</f>
        <v>0</v>
      </c>
      <c r="BG623" s="141">
        <f>IF(N623="zákl. přenesená",J623,0)</f>
        <v>0</v>
      </c>
      <c r="BH623" s="141">
        <f>IF(N623="sníž. přenesená",J623,0)</f>
        <v>0</v>
      </c>
      <c r="BI623" s="141">
        <f>IF(N623="nulová",J623,0)</f>
        <v>0</v>
      </c>
      <c r="BJ623" s="18" t="s">
        <v>85</v>
      </c>
      <c r="BK623" s="141">
        <f>ROUND(I623*H623,2)</f>
        <v>0</v>
      </c>
      <c r="BL623" s="18" t="s">
        <v>237</v>
      </c>
      <c r="BM623" s="140" t="s">
        <v>3644</v>
      </c>
    </row>
    <row r="624" spans="2:47" s="1" customFormat="1" ht="19.5">
      <c r="B624" s="33"/>
      <c r="D624" s="142" t="s">
        <v>187</v>
      </c>
      <c r="F624" s="143" t="s">
        <v>3645</v>
      </c>
      <c r="I624" s="144"/>
      <c r="L624" s="33"/>
      <c r="M624" s="145"/>
      <c r="T624" s="54"/>
      <c r="AT624" s="18" t="s">
        <v>187</v>
      </c>
      <c r="AU624" s="18" t="s">
        <v>87</v>
      </c>
    </row>
    <row r="625" spans="2:47" s="1" customFormat="1" ht="11.25">
      <c r="B625" s="33"/>
      <c r="D625" s="146" t="s">
        <v>189</v>
      </c>
      <c r="F625" s="147" t="s">
        <v>3646</v>
      </c>
      <c r="I625" s="144"/>
      <c r="L625" s="33"/>
      <c r="M625" s="145"/>
      <c r="T625" s="54"/>
      <c r="AT625" s="18" t="s">
        <v>189</v>
      </c>
      <c r="AU625" s="18" t="s">
        <v>87</v>
      </c>
    </row>
    <row r="626" spans="2:65" s="1" customFormat="1" ht="24.2" customHeight="1">
      <c r="B626" s="128"/>
      <c r="C626" s="129" t="s">
        <v>2820</v>
      </c>
      <c r="D626" s="129" t="s">
        <v>180</v>
      </c>
      <c r="E626" s="130" t="s">
        <v>3647</v>
      </c>
      <c r="F626" s="131" t="s">
        <v>3648</v>
      </c>
      <c r="G626" s="132" t="s">
        <v>332</v>
      </c>
      <c r="H626" s="133">
        <v>2201.244</v>
      </c>
      <c r="I626" s="134"/>
      <c r="J626" s="135">
        <f>ROUND(I626*H626,2)</f>
        <v>0</v>
      </c>
      <c r="K626" s="131" t="s">
        <v>184</v>
      </c>
      <c r="L626" s="33"/>
      <c r="M626" s="136" t="s">
        <v>3</v>
      </c>
      <c r="N626" s="137" t="s">
        <v>48</v>
      </c>
      <c r="P626" s="138">
        <f>O626*H626</f>
        <v>0</v>
      </c>
      <c r="Q626" s="138">
        <v>0.0002</v>
      </c>
      <c r="R626" s="138">
        <f>Q626*H626</f>
        <v>0.44024880000000005</v>
      </c>
      <c r="S626" s="138">
        <v>0</v>
      </c>
      <c r="T626" s="139">
        <f>S626*H626</f>
        <v>0</v>
      </c>
      <c r="AR626" s="140" t="s">
        <v>237</v>
      </c>
      <c r="AT626" s="140" t="s">
        <v>180</v>
      </c>
      <c r="AU626" s="140" t="s">
        <v>87</v>
      </c>
      <c r="AY626" s="18" t="s">
        <v>177</v>
      </c>
      <c r="BE626" s="141">
        <f>IF(N626="základní",J626,0)</f>
        <v>0</v>
      </c>
      <c r="BF626" s="141">
        <f>IF(N626="snížená",J626,0)</f>
        <v>0</v>
      </c>
      <c r="BG626" s="141">
        <f>IF(N626="zákl. přenesená",J626,0)</f>
        <v>0</v>
      </c>
      <c r="BH626" s="141">
        <f>IF(N626="sníž. přenesená",J626,0)</f>
        <v>0</v>
      </c>
      <c r="BI626" s="141">
        <f>IF(N626="nulová",J626,0)</f>
        <v>0</v>
      </c>
      <c r="BJ626" s="18" t="s">
        <v>85</v>
      </c>
      <c r="BK626" s="141">
        <f>ROUND(I626*H626,2)</f>
        <v>0</v>
      </c>
      <c r="BL626" s="18" t="s">
        <v>237</v>
      </c>
      <c r="BM626" s="140" t="s">
        <v>3649</v>
      </c>
    </row>
    <row r="627" spans="2:47" s="1" customFormat="1" ht="19.5">
      <c r="B627" s="33"/>
      <c r="D627" s="142" t="s">
        <v>187</v>
      </c>
      <c r="F627" s="143" t="s">
        <v>3650</v>
      </c>
      <c r="I627" s="144"/>
      <c r="L627" s="33"/>
      <c r="M627" s="145"/>
      <c r="T627" s="54"/>
      <c r="AT627" s="18" t="s">
        <v>187</v>
      </c>
      <c r="AU627" s="18" t="s">
        <v>87</v>
      </c>
    </row>
    <row r="628" spans="2:47" s="1" customFormat="1" ht="11.25">
      <c r="B628" s="33"/>
      <c r="D628" s="146" t="s">
        <v>189</v>
      </c>
      <c r="F628" s="147" t="s">
        <v>3651</v>
      </c>
      <c r="I628" s="144"/>
      <c r="L628" s="33"/>
      <c r="M628" s="145"/>
      <c r="T628" s="54"/>
      <c r="AT628" s="18" t="s">
        <v>189</v>
      </c>
      <c r="AU628" s="18" t="s">
        <v>87</v>
      </c>
    </row>
    <row r="629" spans="2:51" s="12" customFormat="1" ht="11.25">
      <c r="B629" s="149"/>
      <c r="D629" s="142" t="s">
        <v>193</v>
      </c>
      <c r="E629" s="150" t="s">
        <v>3</v>
      </c>
      <c r="F629" s="151" t="s">
        <v>3652</v>
      </c>
      <c r="H629" s="152">
        <v>2195.644</v>
      </c>
      <c r="I629" s="153"/>
      <c r="L629" s="149"/>
      <c r="M629" s="154"/>
      <c r="T629" s="155"/>
      <c r="AT629" s="150" t="s">
        <v>193</v>
      </c>
      <c r="AU629" s="150" t="s">
        <v>87</v>
      </c>
      <c r="AV629" s="12" t="s">
        <v>87</v>
      </c>
      <c r="AW629" s="12" t="s">
        <v>36</v>
      </c>
      <c r="AX629" s="12" t="s">
        <v>77</v>
      </c>
      <c r="AY629" s="150" t="s">
        <v>177</v>
      </c>
    </row>
    <row r="630" spans="2:51" s="12" customFormat="1" ht="11.25">
      <c r="B630" s="149"/>
      <c r="D630" s="142" t="s">
        <v>193</v>
      </c>
      <c r="E630" s="150" t="s">
        <v>3</v>
      </c>
      <c r="F630" s="151" t="s">
        <v>3653</v>
      </c>
      <c r="H630" s="152">
        <v>5.6</v>
      </c>
      <c r="I630" s="153"/>
      <c r="L630" s="149"/>
      <c r="M630" s="154"/>
      <c r="T630" s="155"/>
      <c r="AT630" s="150" t="s">
        <v>193</v>
      </c>
      <c r="AU630" s="150" t="s">
        <v>87</v>
      </c>
      <c r="AV630" s="12" t="s">
        <v>87</v>
      </c>
      <c r="AW630" s="12" t="s">
        <v>36</v>
      </c>
      <c r="AX630" s="12" t="s">
        <v>77</v>
      </c>
      <c r="AY630" s="150" t="s">
        <v>177</v>
      </c>
    </row>
    <row r="631" spans="2:51" s="15" customFormat="1" ht="11.25">
      <c r="B631" s="169"/>
      <c r="D631" s="142" t="s">
        <v>193</v>
      </c>
      <c r="E631" s="170" t="s">
        <v>3</v>
      </c>
      <c r="F631" s="171" t="s">
        <v>201</v>
      </c>
      <c r="H631" s="172">
        <v>2201.244</v>
      </c>
      <c r="I631" s="173"/>
      <c r="L631" s="169"/>
      <c r="M631" s="174"/>
      <c r="T631" s="175"/>
      <c r="AT631" s="170" t="s">
        <v>193</v>
      </c>
      <c r="AU631" s="170" t="s">
        <v>87</v>
      </c>
      <c r="AV631" s="15" t="s">
        <v>185</v>
      </c>
      <c r="AW631" s="15" t="s">
        <v>36</v>
      </c>
      <c r="AX631" s="15" t="s">
        <v>85</v>
      </c>
      <c r="AY631" s="170" t="s">
        <v>177</v>
      </c>
    </row>
    <row r="632" spans="2:65" s="1" customFormat="1" ht="24.2" customHeight="1">
      <c r="B632" s="128"/>
      <c r="C632" s="129" t="s">
        <v>2827</v>
      </c>
      <c r="D632" s="129" t="s">
        <v>180</v>
      </c>
      <c r="E632" s="130" t="s">
        <v>3654</v>
      </c>
      <c r="F632" s="131" t="s">
        <v>3655</v>
      </c>
      <c r="G632" s="132" t="s">
        <v>332</v>
      </c>
      <c r="H632" s="133">
        <v>125.73</v>
      </c>
      <c r="I632" s="134"/>
      <c r="J632" s="135">
        <f>ROUND(I632*H632,2)</f>
        <v>0</v>
      </c>
      <c r="K632" s="131" t="s">
        <v>184</v>
      </c>
      <c r="L632" s="33"/>
      <c r="M632" s="136" t="s">
        <v>3</v>
      </c>
      <c r="N632" s="137" t="s">
        <v>48</v>
      </c>
      <c r="P632" s="138">
        <f>O632*H632</f>
        <v>0</v>
      </c>
      <c r="Q632" s="138">
        <v>1.713E-05</v>
      </c>
      <c r="R632" s="138">
        <f>Q632*H632</f>
        <v>0.0021537549000000002</v>
      </c>
      <c r="S632" s="138">
        <v>0</v>
      </c>
      <c r="T632" s="139">
        <f>S632*H632</f>
        <v>0</v>
      </c>
      <c r="AR632" s="140" t="s">
        <v>237</v>
      </c>
      <c r="AT632" s="140" t="s">
        <v>180</v>
      </c>
      <c r="AU632" s="140" t="s">
        <v>87</v>
      </c>
      <c r="AY632" s="18" t="s">
        <v>177</v>
      </c>
      <c r="BE632" s="141">
        <f>IF(N632="základní",J632,0)</f>
        <v>0</v>
      </c>
      <c r="BF632" s="141">
        <f>IF(N632="snížená",J632,0)</f>
        <v>0</v>
      </c>
      <c r="BG632" s="141">
        <f>IF(N632="zákl. přenesená",J632,0)</f>
        <v>0</v>
      </c>
      <c r="BH632" s="141">
        <f>IF(N632="sníž. přenesená",J632,0)</f>
        <v>0</v>
      </c>
      <c r="BI632" s="141">
        <f>IF(N632="nulová",J632,0)</f>
        <v>0</v>
      </c>
      <c r="BJ632" s="18" t="s">
        <v>85</v>
      </c>
      <c r="BK632" s="141">
        <f>ROUND(I632*H632,2)</f>
        <v>0</v>
      </c>
      <c r="BL632" s="18" t="s">
        <v>237</v>
      </c>
      <c r="BM632" s="140" t="s">
        <v>3656</v>
      </c>
    </row>
    <row r="633" spans="2:47" s="1" customFormat="1" ht="19.5">
      <c r="B633" s="33"/>
      <c r="D633" s="142" t="s">
        <v>187</v>
      </c>
      <c r="F633" s="143" t="s">
        <v>3657</v>
      </c>
      <c r="I633" s="144"/>
      <c r="L633" s="33"/>
      <c r="M633" s="145"/>
      <c r="T633" s="54"/>
      <c r="AT633" s="18" t="s">
        <v>187</v>
      </c>
      <c r="AU633" s="18" t="s">
        <v>87</v>
      </c>
    </row>
    <row r="634" spans="2:47" s="1" customFormat="1" ht="11.25">
      <c r="B634" s="33"/>
      <c r="D634" s="146" t="s">
        <v>189</v>
      </c>
      <c r="F634" s="147" t="s">
        <v>3658</v>
      </c>
      <c r="I634" s="144"/>
      <c r="L634" s="33"/>
      <c r="M634" s="145"/>
      <c r="T634" s="54"/>
      <c r="AT634" s="18" t="s">
        <v>189</v>
      </c>
      <c r="AU634" s="18" t="s">
        <v>87</v>
      </c>
    </row>
    <row r="635" spans="2:51" s="12" customFormat="1" ht="11.25">
      <c r="B635" s="149"/>
      <c r="D635" s="142" t="s">
        <v>193</v>
      </c>
      <c r="E635" s="150" t="s">
        <v>3</v>
      </c>
      <c r="F635" s="151" t="s">
        <v>3659</v>
      </c>
      <c r="H635" s="152">
        <v>80.64</v>
      </c>
      <c r="I635" s="153"/>
      <c r="L635" s="149"/>
      <c r="M635" s="154"/>
      <c r="T635" s="155"/>
      <c r="AT635" s="150" t="s">
        <v>193</v>
      </c>
      <c r="AU635" s="150" t="s">
        <v>87</v>
      </c>
      <c r="AV635" s="12" t="s">
        <v>87</v>
      </c>
      <c r="AW635" s="12" t="s">
        <v>36</v>
      </c>
      <c r="AX635" s="12" t="s">
        <v>77</v>
      </c>
      <c r="AY635" s="150" t="s">
        <v>177</v>
      </c>
    </row>
    <row r="636" spans="2:51" s="12" customFormat="1" ht="11.25">
      <c r="B636" s="149"/>
      <c r="D636" s="142" t="s">
        <v>193</v>
      </c>
      <c r="E636" s="150" t="s">
        <v>3</v>
      </c>
      <c r="F636" s="151" t="s">
        <v>3660</v>
      </c>
      <c r="H636" s="152">
        <v>38.88</v>
      </c>
      <c r="I636" s="153"/>
      <c r="L636" s="149"/>
      <c r="M636" s="154"/>
      <c r="T636" s="155"/>
      <c r="AT636" s="150" t="s">
        <v>193</v>
      </c>
      <c r="AU636" s="150" t="s">
        <v>87</v>
      </c>
      <c r="AV636" s="12" t="s">
        <v>87</v>
      </c>
      <c r="AW636" s="12" t="s">
        <v>36</v>
      </c>
      <c r="AX636" s="12" t="s">
        <v>77</v>
      </c>
      <c r="AY636" s="150" t="s">
        <v>177</v>
      </c>
    </row>
    <row r="637" spans="2:51" s="12" customFormat="1" ht="11.25">
      <c r="B637" s="149"/>
      <c r="D637" s="142" t="s">
        <v>193</v>
      </c>
      <c r="E637" s="150" t="s">
        <v>3</v>
      </c>
      <c r="F637" s="151" t="s">
        <v>3661</v>
      </c>
      <c r="H637" s="152">
        <v>6.21</v>
      </c>
      <c r="I637" s="153"/>
      <c r="L637" s="149"/>
      <c r="M637" s="154"/>
      <c r="T637" s="155"/>
      <c r="AT637" s="150" t="s">
        <v>193</v>
      </c>
      <c r="AU637" s="150" t="s">
        <v>87</v>
      </c>
      <c r="AV637" s="12" t="s">
        <v>87</v>
      </c>
      <c r="AW637" s="12" t="s">
        <v>36</v>
      </c>
      <c r="AX637" s="12" t="s">
        <v>77</v>
      </c>
      <c r="AY637" s="150" t="s">
        <v>177</v>
      </c>
    </row>
    <row r="638" spans="2:51" s="15" customFormat="1" ht="11.25">
      <c r="B638" s="169"/>
      <c r="D638" s="142" t="s">
        <v>193</v>
      </c>
      <c r="E638" s="170" t="s">
        <v>3</v>
      </c>
      <c r="F638" s="171" t="s">
        <v>201</v>
      </c>
      <c r="H638" s="172">
        <v>125.73</v>
      </c>
      <c r="I638" s="173"/>
      <c r="L638" s="169"/>
      <c r="M638" s="174"/>
      <c r="T638" s="175"/>
      <c r="AT638" s="170" t="s">
        <v>193</v>
      </c>
      <c r="AU638" s="170" t="s">
        <v>87</v>
      </c>
      <c r="AV638" s="15" t="s">
        <v>185</v>
      </c>
      <c r="AW638" s="15" t="s">
        <v>36</v>
      </c>
      <c r="AX638" s="15" t="s">
        <v>85</v>
      </c>
      <c r="AY638" s="170" t="s">
        <v>177</v>
      </c>
    </row>
    <row r="639" spans="2:65" s="1" customFormat="1" ht="24.2" customHeight="1">
      <c r="B639" s="128"/>
      <c r="C639" s="129" t="s">
        <v>2829</v>
      </c>
      <c r="D639" s="129" t="s">
        <v>180</v>
      </c>
      <c r="E639" s="130" t="s">
        <v>3662</v>
      </c>
      <c r="F639" s="131" t="s">
        <v>3663</v>
      </c>
      <c r="G639" s="132" t="s">
        <v>332</v>
      </c>
      <c r="H639" s="133">
        <v>20.14</v>
      </c>
      <c r="I639" s="134"/>
      <c r="J639" s="135">
        <f>ROUND(I639*H639,2)</f>
        <v>0</v>
      </c>
      <c r="K639" s="131" t="s">
        <v>184</v>
      </c>
      <c r="L639" s="33"/>
      <c r="M639" s="136" t="s">
        <v>3</v>
      </c>
      <c r="N639" s="137" t="s">
        <v>48</v>
      </c>
      <c r="P639" s="138">
        <f>O639*H639</f>
        <v>0</v>
      </c>
      <c r="Q639" s="138">
        <v>7.15E-06</v>
      </c>
      <c r="R639" s="138">
        <f>Q639*H639</f>
        <v>0.00014400100000000002</v>
      </c>
      <c r="S639" s="138">
        <v>0</v>
      </c>
      <c r="T639" s="139">
        <f>S639*H639</f>
        <v>0</v>
      </c>
      <c r="AR639" s="140" t="s">
        <v>237</v>
      </c>
      <c r="AT639" s="140" t="s">
        <v>180</v>
      </c>
      <c r="AU639" s="140" t="s">
        <v>87</v>
      </c>
      <c r="AY639" s="18" t="s">
        <v>177</v>
      </c>
      <c r="BE639" s="141">
        <f>IF(N639="základní",J639,0)</f>
        <v>0</v>
      </c>
      <c r="BF639" s="141">
        <f>IF(N639="snížená",J639,0)</f>
        <v>0</v>
      </c>
      <c r="BG639" s="141">
        <f>IF(N639="zákl. přenesená",J639,0)</f>
        <v>0</v>
      </c>
      <c r="BH639" s="141">
        <f>IF(N639="sníž. přenesená",J639,0)</f>
        <v>0</v>
      </c>
      <c r="BI639" s="141">
        <f>IF(N639="nulová",J639,0)</f>
        <v>0</v>
      </c>
      <c r="BJ639" s="18" t="s">
        <v>85</v>
      </c>
      <c r="BK639" s="141">
        <f>ROUND(I639*H639,2)</f>
        <v>0</v>
      </c>
      <c r="BL639" s="18" t="s">
        <v>237</v>
      </c>
      <c r="BM639" s="140" t="s">
        <v>3664</v>
      </c>
    </row>
    <row r="640" spans="2:47" s="1" customFormat="1" ht="19.5">
      <c r="B640" s="33"/>
      <c r="D640" s="142" t="s">
        <v>187</v>
      </c>
      <c r="F640" s="143" t="s">
        <v>3665</v>
      </c>
      <c r="I640" s="144"/>
      <c r="L640" s="33"/>
      <c r="M640" s="145"/>
      <c r="T640" s="54"/>
      <c r="AT640" s="18" t="s">
        <v>187</v>
      </c>
      <c r="AU640" s="18" t="s">
        <v>87</v>
      </c>
    </row>
    <row r="641" spans="2:47" s="1" customFormat="1" ht="11.25">
      <c r="B641" s="33"/>
      <c r="D641" s="146" t="s">
        <v>189</v>
      </c>
      <c r="F641" s="147" t="s">
        <v>3666</v>
      </c>
      <c r="I641" s="144"/>
      <c r="L641" s="33"/>
      <c r="M641" s="145"/>
      <c r="T641" s="54"/>
      <c r="AT641" s="18" t="s">
        <v>189</v>
      </c>
      <c r="AU641" s="18" t="s">
        <v>87</v>
      </c>
    </row>
    <row r="642" spans="2:51" s="12" customFormat="1" ht="11.25">
      <c r="B642" s="149"/>
      <c r="D642" s="142" t="s">
        <v>193</v>
      </c>
      <c r="E642" s="150" t="s">
        <v>3</v>
      </c>
      <c r="F642" s="151" t="s">
        <v>3667</v>
      </c>
      <c r="H642" s="152">
        <v>6</v>
      </c>
      <c r="I642" s="153"/>
      <c r="L642" s="149"/>
      <c r="M642" s="154"/>
      <c r="T642" s="155"/>
      <c r="AT642" s="150" t="s">
        <v>193</v>
      </c>
      <c r="AU642" s="150" t="s">
        <v>87</v>
      </c>
      <c r="AV642" s="12" t="s">
        <v>87</v>
      </c>
      <c r="AW642" s="12" t="s">
        <v>36</v>
      </c>
      <c r="AX642" s="12" t="s">
        <v>77</v>
      </c>
      <c r="AY642" s="150" t="s">
        <v>177</v>
      </c>
    </row>
    <row r="643" spans="2:51" s="12" customFormat="1" ht="11.25">
      <c r="B643" s="149"/>
      <c r="D643" s="142" t="s">
        <v>193</v>
      </c>
      <c r="E643" s="150" t="s">
        <v>3</v>
      </c>
      <c r="F643" s="151" t="s">
        <v>3668</v>
      </c>
      <c r="H643" s="152">
        <v>9.03</v>
      </c>
      <c r="I643" s="153"/>
      <c r="L643" s="149"/>
      <c r="M643" s="154"/>
      <c r="T643" s="155"/>
      <c r="AT643" s="150" t="s">
        <v>193</v>
      </c>
      <c r="AU643" s="150" t="s">
        <v>87</v>
      </c>
      <c r="AV643" s="12" t="s">
        <v>87</v>
      </c>
      <c r="AW643" s="12" t="s">
        <v>36</v>
      </c>
      <c r="AX643" s="12" t="s">
        <v>77</v>
      </c>
      <c r="AY643" s="150" t="s">
        <v>177</v>
      </c>
    </row>
    <row r="644" spans="2:51" s="12" customFormat="1" ht="11.25">
      <c r="B644" s="149"/>
      <c r="D644" s="142" t="s">
        <v>193</v>
      </c>
      <c r="E644" s="150" t="s">
        <v>3</v>
      </c>
      <c r="F644" s="151" t="s">
        <v>1084</v>
      </c>
      <c r="H644" s="152">
        <v>2.31</v>
      </c>
      <c r="I644" s="153"/>
      <c r="L644" s="149"/>
      <c r="M644" s="154"/>
      <c r="T644" s="155"/>
      <c r="AT644" s="150" t="s">
        <v>193</v>
      </c>
      <c r="AU644" s="150" t="s">
        <v>87</v>
      </c>
      <c r="AV644" s="12" t="s">
        <v>87</v>
      </c>
      <c r="AW644" s="12" t="s">
        <v>36</v>
      </c>
      <c r="AX644" s="12" t="s">
        <v>77</v>
      </c>
      <c r="AY644" s="150" t="s">
        <v>177</v>
      </c>
    </row>
    <row r="645" spans="2:51" s="12" customFormat="1" ht="11.25">
      <c r="B645" s="149"/>
      <c r="D645" s="142" t="s">
        <v>193</v>
      </c>
      <c r="E645" s="150" t="s">
        <v>3</v>
      </c>
      <c r="F645" s="151" t="s">
        <v>3669</v>
      </c>
      <c r="H645" s="152">
        <v>2.8</v>
      </c>
      <c r="I645" s="153"/>
      <c r="L645" s="149"/>
      <c r="M645" s="154"/>
      <c r="T645" s="155"/>
      <c r="AT645" s="150" t="s">
        <v>193</v>
      </c>
      <c r="AU645" s="150" t="s">
        <v>87</v>
      </c>
      <c r="AV645" s="12" t="s">
        <v>87</v>
      </c>
      <c r="AW645" s="12" t="s">
        <v>36</v>
      </c>
      <c r="AX645" s="12" t="s">
        <v>77</v>
      </c>
      <c r="AY645" s="150" t="s">
        <v>177</v>
      </c>
    </row>
    <row r="646" spans="2:51" s="15" customFormat="1" ht="11.25">
      <c r="B646" s="169"/>
      <c r="D646" s="142" t="s">
        <v>193</v>
      </c>
      <c r="E646" s="170" t="s">
        <v>3</v>
      </c>
      <c r="F646" s="171" t="s">
        <v>201</v>
      </c>
      <c r="H646" s="172">
        <v>20.14</v>
      </c>
      <c r="I646" s="173"/>
      <c r="L646" s="169"/>
      <c r="M646" s="174"/>
      <c r="T646" s="175"/>
      <c r="AT646" s="170" t="s">
        <v>193</v>
      </c>
      <c r="AU646" s="170" t="s">
        <v>87</v>
      </c>
      <c r="AV646" s="15" t="s">
        <v>185</v>
      </c>
      <c r="AW646" s="15" t="s">
        <v>36</v>
      </c>
      <c r="AX646" s="15" t="s">
        <v>85</v>
      </c>
      <c r="AY646" s="170" t="s">
        <v>177</v>
      </c>
    </row>
    <row r="647" spans="2:65" s="1" customFormat="1" ht="24.2" customHeight="1">
      <c r="B647" s="128"/>
      <c r="C647" s="129" t="s">
        <v>2831</v>
      </c>
      <c r="D647" s="129" t="s">
        <v>180</v>
      </c>
      <c r="E647" s="130" t="s">
        <v>3670</v>
      </c>
      <c r="F647" s="131" t="s">
        <v>3671</v>
      </c>
      <c r="G647" s="132" t="s">
        <v>332</v>
      </c>
      <c r="H647" s="133">
        <v>969.6</v>
      </c>
      <c r="I647" s="134"/>
      <c r="J647" s="135">
        <f>ROUND(I647*H647,2)</f>
        <v>0</v>
      </c>
      <c r="K647" s="131" t="s">
        <v>184</v>
      </c>
      <c r="L647" s="33"/>
      <c r="M647" s="136" t="s">
        <v>3</v>
      </c>
      <c r="N647" s="137" t="s">
        <v>48</v>
      </c>
      <c r="P647" s="138">
        <f>O647*H647</f>
        <v>0</v>
      </c>
      <c r="Q647" s="138">
        <v>6.25E-06</v>
      </c>
      <c r="R647" s="138">
        <f>Q647*H647</f>
        <v>0.00606</v>
      </c>
      <c r="S647" s="138">
        <v>0</v>
      </c>
      <c r="T647" s="139">
        <f>S647*H647</f>
        <v>0</v>
      </c>
      <c r="AR647" s="140" t="s">
        <v>237</v>
      </c>
      <c r="AT647" s="140" t="s">
        <v>180</v>
      </c>
      <c r="AU647" s="140" t="s">
        <v>87</v>
      </c>
      <c r="AY647" s="18" t="s">
        <v>177</v>
      </c>
      <c r="BE647" s="141">
        <f>IF(N647="základní",J647,0)</f>
        <v>0</v>
      </c>
      <c r="BF647" s="141">
        <f>IF(N647="snížená",J647,0)</f>
        <v>0</v>
      </c>
      <c r="BG647" s="141">
        <f>IF(N647="zákl. přenesená",J647,0)</f>
        <v>0</v>
      </c>
      <c r="BH647" s="141">
        <f>IF(N647="sníž. přenesená",J647,0)</f>
        <v>0</v>
      </c>
      <c r="BI647" s="141">
        <f>IF(N647="nulová",J647,0)</f>
        <v>0</v>
      </c>
      <c r="BJ647" s="18" t="s">
        <v>85</v>
      </c>
      <c r="BK647" s="141">
        <f>ROUND(I647*H647,2)</f>
        <v>0</v>
      </c>
      <c r="BL647" s="18" t="s">
        <v>237</v>
      </c>
      <c r="BM647" s="140" t="s">
        <v>3672</v>
      </c>
    </row>
    <row r="648" spans="2:47" s="1" customFormat="1" ht="19.5">
      <c r="B648" s="33"/>
      <c r="D648" s="142" t="s">
        <v>187</v>
      </c>
      <c r="F648" s="143" t="s">
        <v>3673</v>
      </c>
      <c r="I648" s="144"/>
      <c r="L648" s="33"/>
      <c r="M648" s="145"/>
      <c r="T648" s="54"/>
      <c r="AT648" s="18" t="s">
        <v>187</v>
      </c>
      <c r="AU648" s="18" t="s">
        <v>87</v>
      </c>
    </row>
    <row r="649" spans="2:47" s="1" customFormat="1" ht="11.25">
      <c r="B649" s="33"/>
      <c r="D649" s="146" t="s">
        <v>189</v>
      </c>
      <c r="F649" s="147" t="s">
        <v>3674</v>
      </c>
      <c r="I649" s="144"/>
      <c r="L649" s="33"/>
      <c r="M649" s="145"/>
      <c r="T649" s="54"/>
      <c r="AT649" s="18" t="s">
        <v>189</v>
      </c>
      <c r="AU649" s="18" t="s">
        <v>87</v>
      </c>
    </row>
    <row r="650" spans="2:65" s="1" customFormat="1" ht="33" customHeight="1">
      <c r="B650" s="128"/>
      <c r="C650" s="129" t="s">
        <v>2837</v>
      </c>
      <c r="D650" s="129" t="s">
        <v>180</v>
      </c>
      <c r="E650" s="130" t="s">
        <v>3675</v>
      </c>
      <c r="F650" s="131" t="s">
        <v>3676</v>
      </c>
      <c r="G650" s="132" t="s">
        <v>332</v>
      </c>
      <c r="H650" s="133">
        <v>564.647</v>
      </c>
      <c r="I650" s="134"/>
      <c r="J650" s="135">
        <f>ROUND(I650*H650,2)</f>
        <v>0</v>
      </c>
      <c r="K650" s="131" t="s">
        <v>184</v>
      </c>
      <c r="L650" s="33"/>
      <c r="M650" s="136" t="s">
        <v>3</v>
      </c>
      <c r="N650" s="137" t="s">
        <v>48</v>
      </c>
      <c r="P650" s="138">
        <f>O650*H650</f>
        <v>0</v>
      </c>
      <c r="Q650" s="138">
        <v>0.0002584</v>
      </c>
      <c r="R650" s="138">
        <f>Q650*H650</f>
        <v>0.14590478480000002</v>
      </c>
      <c r="S650" s="138">
        <v>0</v>
      </c>
      <c r="T650" s="139">
        <f>S650*H650</f>
        <v>0</v>
      </c>
      <c r="AR650" s="140" t="s">
        <v>237</v>
      </c>
      <c r="AT650" s="140" t="s">
        <v>180</v>
      </c>
      <c r="AU650" s="140" t="s">
        <v>87</v>
      </c>
      <c r="AY650" s="18" t="s">
        <v>177</v>
      </c>
      <c r="BE650" s="141">
        <f>IF(N650="základní",J650,0)</f>
        <v>0</v>
      </c>
      <c r="BF650" s="141">
        <f>IF(N650="snížená",J650,0)</f>
        <v>0</v>
      </c>
      <c r="BG650" s="141">
        <f>IF(N650="zákl. přenesená",J650,0)</f>
        <v>0</v>
      </c>
      <c r="BH650" s="141">
        <f>IF(N650="sníž. přenesená",J650,0)</f>
        <v>0</v>
      </c>
      <c r="BI650" s="141">
        <f>IF(N650="nulová",J650,0)</f>
        <v>0</v>
      </c>
      <c r="BJ650" s="18" t="s">
        <v>85</v>
      </c>
      <c r="BK650" s="141">
        <f>ROUND(I650*H650,2)</f>
        <v>0</v>
      </c>
      <c r="BL650" s="18" t="s">
        <v>237</v>
      </c>
      <c r="BM650" s="140" t="s">
        <v>3677</v>
      </c>
    </row>
    <row r="651" spans="2:47" s="1" customFormat="1" ht="29.25">
      <c r="B651" s="33"/>
      <c r="D651" s="142" t="s">
        <v>187</v>
      </c>
      <c r="F651" s="143" t="s">
        <v>3678</v>
      </c>
      <c r="I651" s="144"/>
      <c r="L651" s="33"/>
      <c r="M651" s="145"/>
      <c r="T651" s="54"/>
      <c r="AT651" s="18" t="s">
        <v>187</v>
      </c>
      <c r="AU651" s="18" t="s">
        <v>87</v>
      </c>
    </row>
    <row r="652" spans="2:47" s="1" customFormat="1" ht="11.25">
      <c r="B652" s="33"/>
      <c r="D652" s="146" t="s">
        <v>189</v>
      </c>
      <c r="F652" s="147" t="s">
        <v>3679</v>
      </c>
      <c r="I652" s="144"/>
      <c r="L652" s="33"/>
      <c r="M652" s="145"/>
      <c r="T652" s="54"/>
      <c r="AT652" s="18" t="s">
        <v>189</v>
      </c>
      <c r="AU652" s="18" t="s">
        <v>87</v>
      </c>
    </row>
    <row r="653" spans="2:51" s="13" customFormat="1" ht="11.25">
      <c r="B653" s="156"/>
      <c r="D653" s="142" t="s">
        <v>193</v>
      </c>
      <c r="E653" s="157" t="s">
        <v>3</v>
      </c>
      <c r="F653" s="158" t="s">
        <v>3680</v>
      </c>
      <c r="H653" s="157" t="s">
        <v>3</v>
      </c>
      <c r="I653" s="159"/>
      <c r="L653" s="156"/>
      <c r="M653" s="160"/>
      <c r="T653" s="161"/>
      <c r="AT653" s="157" t="s">
        <v>193</v>
      </c>
      <c r="AU653" s="157" t="s">
        <v>87</v>
      </c>
      <c r="AV653" s="13" t="s">
        <v>85</v>
      </c>
      <c r="AW653" s="13" t="s">
        <v>36</v>
      </c>
      <c r="AX653" s="13" t="s">
        <v>77</v>
      </c>
      <c r="AY653" s="157" t="s">
        <v>177</v>
      </c>
    </row>
    <row r="654" spans="2:51" s="12" customFormat="1" ht="11.25">
      <c r="B654" s="149"/>
      <c r="D654" s="142" t="s">
        <v>193</v>
      </c>
      <c r="E654" s="150" t="s">
        <v>3</v>
      </c>
      <c r="F654" s="151" t="s">
        <v>3681</v>
      </c>
      <c r="H654" s="152">
        <v>564.647</v>
      </c>
      <c r="I654" s="153"/>
      <c r="L654" s="149"/>
      <c r="M654" s="154"/>
      <c r="T654" s="155"/>
      <c r="AT654" s="150" t="s">
        <v>193</v>
      </c>
      <c r="AU654" s="150" t="s">
        <v>87</v>
      </c>
      <c r="AV654" s="12" t="s">
        <v>87</v>
      </c>
      <c r="AW654" s="12" t="s">
        <v>36</v>
      </c>
      <c r="AX654" s="12" t="s">
        <v>85</v>
      </c>
      <c r="AY654" s="150" t="s">
        <v>177</v>
      </c>
    </row>
    <row r="655" spans="2:65" s="1" customFormat="1" ht="37.9" customHeight="1">
      <c r="B655" s="128"/>
      <c r="C655" s="129" t="s">
        <v>2843</v>
      </c>
      <c r="D655" s="129" t="s">
        <v>180</v>
      </c>
      <c r="E655" s="130" t="s">
        <v>3682</v>
      </c>
      <c r="F655" s="131" t="s">
        <v>3683</v>
      </c>
      <c r="G655" s="132" t="s">
        <v>332</v>
      </c>
      <c r="H655" s="133">
        <v>1636.597</v>
      </c>
      <c r="I655" s="134"/>
      <c r="J655" s="135">
        <f>ROUND(I655*H655,2)</f>
        <v>0</v>
      </c>
      <c r="K655" s="131" t="s">
        <v>184</v>
      </c>
      <c r="L655" s="33"/>
      <c r="M655" s="136" t="s">
        <v>3</v>
      </c>
      <c r="N655" s="137" t="s">
        <v>48</v>
      </c>
      <c r="P655" s="138">
        <f>O655*H655</f>
        <v>0</v>
      </c>
      <c r="Q655" s="138">
        <v>0.00028</v>
      </c>
      <c r="R655" s="138">
        <f>Q655*H655</f>
        <v>0.45824715999999993</v>
      </c>
      <c r="S655" s="138">
        <v>0</v>
      </c>
      <c r="T655" s="139">
        <f>S655*H655</f>
        <v>0</v>
      </c>
      <c r="AR655" s="140" t="s">
        <v>237</v>
      </c>
      <c r="AT655" s="140" t="s">
        <v>180</v>
      </c>
      <c r="AU655" s="140" t="s">
        <v>87</v>
      </c>
      <c r="AY655" s="18" t="s">
        <v>177</v>
      </c>
      <c r="BE655" s="141">
        <f>IF(N655="základní",J655,0)</f>
        <v>0</v>
      </c>
      <c r="BF655" s="141">
        <f>IF(N655="snížená",J655,0)</f>
        <v>0</v>
      </c>
      <c r="BG655" s="141">
        <f>IF(N655="zákl. přenesená",J655,0)</f>
        <v>0</v>
      </c>
      <c r="BH655" s="141">
        <f>IF(N655="sníž. přenesená",J655,0)</f>
        <v>0</v>
      </c>
      <c r="BI655" s="141">
        <f>IF(N655="nulová",J655,0)</f>
        <v>0</v>
      </c>
      <c r="BJ655" s="18" t="s">
        <v>85</v>
      </c>
      <c r="BK655" s="141">
        <f>ROUND(I655*H655,2)</f>
        <v>0</v>
      </c>
      <c r="BL655" s="18" t="s">
        <v>237</v>
      </c>
      <c r="BM655" s="140" t="s">
        <v>3684</v>
      </c>
    </row>
    <row r="656" spans="2:47" s="1" customFormat="1" ht="29.25">
      <c r="B656" s="33"/>
      <c r="D656" s="142" t="s">
        <v>187</v>
      </c>
      <c r="F656" s="143" t="s">
        <v>3685</v>
      </c>
      <c r="I656" s="144"/>
      <c r="L656" s="33"/>
      <c r="M656" s="145"/>
      <c r="T656" s="54"/>
      <c r="AT656" s="18" t="s">
        <v>187</v>
      </c>
      <c r="AU656" s="18" t="s">
        <v>87</v>
      </c>
    </row>
    <row r="657" spans="2:47" s="1" customFormat="1" ht="11.25">
      <c r="B657" s="33"/>
      <c r="D657" s="146" t="s">
        <v>189</v>
      </c>
      <c r="F657" s="147" t="s">
        <v>3686</v>
      </c>
      <c r="I657" s="144"/>
      <c r="L657" s="33"/>
      <c r="M657" s="145"/>
      <c r="T657" s="54"/>
      <c r="AT657" s="18" t="s">
        <v>189</v>
      </c>
      <c r="AU657" s="18" t="s">
        <v>87</v>
      </c>
    </row>
    <row r="658" spans="2:51" s="12" customFormat="1" ht="11.25">
      <c r="B658" s="149"/>
      <c r="D658" s="142" t="s">
        <v>193</v>
      </c>
      <c r="E658" s="150" t="s">
        <v>3</v>
      </c>
      <c r="F658" s="151" t="s">
        <v>2109</v>
      </c>
      <c r="H658" s="152">
        <v>1621.044</v>
      </c>
      <c r="I658" s="153"/>
      <c r="L658" s="149"/>
      <c r="M658" s="154"/>
      <c r="T658" s="155"/>
      <c r="AT658" s="150" t="s">
        <v>193</v>
      </c>
      <c r="AU658" s="150" t="s">
        <v>87</v>
      </c>
      <c r="AV658" s="12" t="s">
        <v>87</v>
      </c>
      <c r="AW658" s="12" t="s">
        <v>36</v>
      </c>
      <c r="AX658" s="12" t="s">
        <v>77</v>
      </c>
      <c r="AY658" s="150" t="s">
        <v>177</v>
      </c>
    </row>
    <row r="659" spans="2:51" s="13" customFormat="1" ht="11.25">
      <c r="B659" s="156"/>
      <c r="D659" s="142" t="s">
        <v>193</v>
      </c>
      <c r="E659" s="157" t="s">
        <v>3</v>
      </c>
      <c r="F659" s="158" t="s">
        <v>3687</v>
      </c>
      <c r="H659" s="157" t="s">
        <v>3</v>
      </c>
      <c r="I659" s="159"/>
      <c r="L659" s="156"/>
      <c r="M659" s="160"/>
      <c r="T659" s="161"/>
      <c r="AT659" s="157" t="s">
        <v>193</v>
      </c>
      <c r="AU659" s="157" t="s">
        <v>87</v>
      </c>
      <c r="AV659" s="13" t="s">
        <v>85</v>
      </c>
      <c r="AW659" s="13" t="s">
        <v>36</v>
      </c>
      <c r="AX659" s="13" t="s">
        <v>77</v>
      </c>
      <c r="AY659" s="157" t="s">
        <v>177</v>
      </c>
    </row>
    <row r="660" spans="2:51" s="12" customFormat="1" ht="11.25">
      <c r="B660" s="149"/>
      <c r="D660" s="142" t="s">
        <v>193</v>
      </c>
      <c r="E660" s="150" t="s">
        <v>3</v>
      </c>
      <c r="F660" s="151" t="s">
        <v>3688</v>
      </c>
      <c r="H660" s="152">
        <v>574.6</v>
      </c>
      <c r="I660" s="153"/>
      <c r="L660" s="149"/>
      <c r="M660" s="154"/>
      <c r="T660" s="155"/>
      <c r="AT660" s="150" t="s">
        <v>193</v>
      </c>
      <c r="AU660" s="150" t="s">
        <v>87</v>
      </c>
      <c r="AV660" s="12" t="s">
        <v>87</v>
      </c>
      <c r="AW660" s="12" t="s">
        <v>36</v>
      </c>
      <c r="AX660" s="12" t="s">
        <v>77</v>
      </c>
      <c r="AY660" s="150" t="s">
        <v>177</v>
      </c>
    </row>
    <row r="661" spans="2:51" s="14" customFormat="1" ht="11.25">
      <c r="B661" s="162"/>
      <c r="D661" s="142" t="s">
        <v>193</v>
      </c>
      <c r="E661" s="163" t="s">
        <v>3</v>
      </c>
      <c r="F661" s="164" t="s">
        <v>197</v>
      </c>
      <c r="H661" s="165">
        <v>2195.644</v>
      </c>
      <c r="I661" s="166"/>
      <c r="L661" s="162"/>
      <c r="M661" s="167"/>
      <c r="T661" s="168"/>
      <c r="AT661" s="163" t="s">
        <v>193</v>
      </c>
      <c r="AU661" s="163" t="s">
        <v>87</v>
      </c>
      <c r="AV661" s="14" t="s">
        <v>198</v>
      </c>
      <c r="AW661" s="14" t="s">
        <v>36</v>
      </c>
      <c r="AX661" s="14" t="s">
        <v>77</v>
      </c>
      <c r="AY661" s="163" t="s">
        <v>177</v>
      </c>
    </row>
    <row r="662" spans="2:51" s="13" customFormat="1" ht="11.25">
      <c r="B662" s="156"/>
      <c r="D662" s="142" t="s">
        <v>193</v>
      </c>
      <c r="E662" s="157" t="s">
        <v>3</v>
      </c>
      <c r="F662" s="158" t="s">
        <v>3689</v>
      </c>
      <c r="H662" s="157" t="s">
        <v>3</v>
      </c>
      <c r="I662" s="159"/>
      <c r="L662" s="156"/>
      <c r="M662" s="160"/>
      <c r="T662" s="161"/>
      <c r="AT662" s="157" t="s">
        <v>193</v>
      </c>
      <c r="AU662" s="157" t="s">
        <v>87</v>
      </c>
      <c r="AV662" s="13" t="s">
        <v>85</v>
      </c>
      <c r="AW662" s="13" t="s">
        <v>36</v>
      </c>
      <c r="AX662" s="13" t="s">
        <v>77</v>
      </c>
      <c r="AY662" s="157" t="s">
        <v>177</v>
      </c>
    </row>
    <row r="663" spans="2:51" s="12" customFormat="1" ht="11.25">
      <c r="B663" s="149"/>
      <c r="D663" s="142" t="s">
        <v>193</v>
      </c>
      <c r="E663" s="150" t="s">
        <v>3</v>
      </c>
      <c r="F663" s="151" t="s">
        <v>3690</v>
      </c>
      <c r="H663" s="152">
        <v>-564.647</v>
      </c>
      <c r="I663" s="153"/>
      <c r="L663" s="149"/>
      <c r="M663" s="154"/>
      <c r="T663" s="155"/>
      <c r="AT663" s="150" t="s">
        <v>193</v>
      </c>
      <c r="AU663" s="150" t="s">
        <v>87</v>
      </c>
      <c r="AV663" s="12" t="s">
        <v>87</v>
      </c>
      <c r="AW663" s="12" t="s">
        <v>36</v>
      </c>
      <c r="AX663" s="12" t="s">
        <v>77</v>
      </c>
      <c r="AY663" s="150" t="s">
        <v>177</v>
      </c>
    </row>
    <row r="664" spans="2:51" s="14" customFormat="1" ht="11.25">
      <c r="B664" s="162"/>
      <c r="D664" s="142" t="s">
        <v>193</v>
      </c>
      <c r="E664" s="163" t="s">
        <v>3</v>
      </c>
      <c r="F664" s="164" t="s">
        <v>197</v>
      </c>
      <c r="H664" s="165">
        <v>-564.647</v>
      </c>
      <c r="I664" s="166"/>
      <c r="L664" s="162"/>
      <c r="M664" s="167"/>
      <c r="T664" s="168"/>
      <c r="AT664" s="163" t="s">
        <v>193</v>
      </c>
      <c r="AU664" s="163" t="s">
        <v>87</v>
      </c>
      <c r="AV664" s="14" t="s">
        <v>198</v>
      </c>
      <c r="AW664" s="14" t="s">
        <v>36</v>
      </c>
      <c r="AX664" s="14" t="s">
        <v>77</v>
      </c>
      <c r="AY664" s="163" t="s">
        <v>177</v>
      </c>
    </row>
    <row r="665" spans="2:51" s="12" customFormat="1" ht="11.25">
      <c r="B665" s="149"/>
      <c r="D665" s="142" t="s">
        <v>193</v>
      </c>
      <c r="E665" s="150" t="s">
        <v>3</v>
      </c>
      <c r="F665" s="151" t="s">
        <v>3691</v>
      </c>
      <c r="H665" s="152">
        <v>5.6</v>
      </c>
      <c r="I665" s="153"/>
      <c r="L665" s="149"/>
      <c r="M665" s="154"/>
      <c r="T665" s="155"/>
      <c r="AT665" s="150" t="s">
        <v>193</v>
      </c>
      <c r="AU665" s="150" t="s">
        <v>87</v>
      </c>
      <c r="AV665" s="12" t="s">
        <v>87</v>
      </c>
      <c r="AW665" s="12" t="s">
        <v>36</v>
      </c>
      <c r="AX665" s="12" t="s">
        <v>77</v>
      </c>
      <c r="AY665" s="150" t="s">
        <v>177</v>
      </c>
    </row>
    <row r="666" spans="2:51" s="15" customFormat="1" ht="11.25">
      <c r="B666" s="169"/>
      <c r="D666" s="142" t="s">
        <v>193</v>
      </c>
      <c r="E666" s="170" t="s">
        <v>3</v>
      </c>
      <c r="F666" s="171" t="s">
        <v>201</v>
      </c>
      <c r="H666" s="172">
        <v>1636.597</v>
      </c>
      <c r="I666" s="173"/>
      <c r="L666" s="169"/>
      <c r="M666" s="174"/>
      <c r="T666" s="175"/>
      <c r="AT666" s="170" t="s">
        <v>193</v>
      </c>
      <c r="AU666" s="170" t="s">
        <v>87</v>
      </c>
      <c r="AV666" s="15" t="s">
        <v>185</v>
      </c>
      <c r="AW666" s="15" t="s">
        <v>36</v>
      </c>
      <c r="AX666" s="15" t="s">
        <v>85</v>
      </c>
      <c r="AY666" s="170" t="s">
        <v>177</v>
      </c>
    </row>
    <row r="667" spans="2:65" s="1" customFormat="1" ht="33" customHeight="1">
      <c r="B667" s="128"/>
      <c r="C667" s="129" t="s">
        <v>2849</v>
      </c>
      <c r="D667" s="129" t="s">
        <v>180</v>
      </c>
      <c r="E667" s="130" t="s">
        <v>3692</v>
      </c>
      <c r="F667" s="131" t="s">
        <v>3693</v>
      </c>
      <c r="G667" s="132" t="s">
        <v>332</v>
      </c>
      <c r="H667" s="133">
        <v>1693.94</v>
      </c>
      <c r="I667" s="134"/>
      <c r="J667" s="135">
        <f>ROUND(I667*H667,2)</f>
        <v>0</v>
      </c>
      <c r="K667" s="131" t="s">
        <v>184</v>
      </c>
      <c r="L667" s="33"/>
      <c r="M667" s="136" t="s">
        <v>3</v>
      </c>
      <c r="N667" s="137" t="s">
        <v>48</v>
      </c>
      <c r="P667" s="138">
        <f>O667*H667</f>
        <v>0</v>
      </c>
      <c r="Q667" s="138">
        <v>1.69E-05</v>
      </c>
      <c r="R667" s="138">
        <f>Q667*H667</f>
        <v>0.028627586000000003</v>
      </c>
      <c r="S667" s="138">
        <v>0</v>
      </c>
      <c r="T667" s="139">
        <f>S667*H667</f>
        <v>0</v>
      </c>
      <c r="AR667" s="140" t="s">
        <v>237</v>
      </c>
      <c r="AT667" s="140" t="s">
        <v>180</v>
      </c>
      <c r="AU667" s="140" t="s">
        <v>87</v>
      </c>
      <c r="AY667" s="18" t="s">
        <v>177</v>
      </c>
      <c r="BE667" s="141">
        <f>IF(N667="základní",J667,0)</f>
        <v>0</v>
      </c>
      <c r="BF667" s="141">
        <f>IF(N667="snížená",J667,0)</f>
        <v>0</v>
      </c>
      <c r="BG667" s="141">
        <f>IF(N667="zákl. přenesená",J667,0)</f>
        <v>0</v>
      </c>
      <c r="BH667" s="141">
        <f>IF(N667="sníž. přenesená",J667,0)</f>
        <v>0</v>
      </c>
      <c r="BI667" s="141">
        <f>IF(N667="nulová",J667,0)</f>
        <v>0</v>
      </c>
      <c r="BJ667" s="18" t="s">
        <v>85</v>
      </c>
      <c r="BK667" s="141">
        <f>ROUND(I667*H667,2)</f>
        <v>0</v>
      </c>
      <c r="BL667" s="18" t="s">
        <v>237</v>
      </c>
      <c r="BM667" s="140" t="s">
        <v>3694</v>
      </c>
    </row>
    <row r="668" spans="2:47" s="1" customFormat="1" ht="29.25">
      <c r="B668" s="33"/>
      <c r="D668" s="142" t="s">
        <v>187</v>
      </c>
      <c r="F668" s="143" t="s">
        <v>3695</v>
      </c>
      <c r="I668" s="144"/>
      <c r="L668" s="33"/>
      <c r="M668" s="145"/>
      <c r="T668" s="54"/>
      <c r="AT668" s="18" t="s">
        <v>187</v>
      </c>
      <c r="AU668" s="18" t="s">
        <v>87</v>
      </c>
    </row>
    <row r="669" spans="2:47" s="1" customFormat="1" ht="11.25">
      <c r="B669" s="33"/>
      <c r="D669" s="146" t="s">
        <v>189</v>
      </c>
      <c r="F669" s="147" t="s">
        <v>3696</v>
      </c>
      <c r="I669" s="144"/>
      <c r="L669" s="33"/>
      <c r="M669" s="145"/>
      <c r="T669" s="54"/>
      <c r="AT669" s="18" t="s">
        <v>189</v>
      </c>
      <c r="AU669" s="18" t="s">
        <v>87</v>
      </c>
    </row>
    <row r="670" spans="2:63" s="11" customFormat="1" ht="22.9" customHeight="1">
      <c r="B670" s="116"/>
      <c r="D670" s="117" t="s">
        <v>76</v>
      </c>
      <c r="E670" s="126" t="s">
        <v>3697</v>
      </c>
      <c r="F670" s="126" t="s">
        <v>3698</v>
      </c>
      <c r="I670" s="119"/>
      <c r="J670" s="127">
        <f>BK670</f>
        <v>0</v>
      </c>
      <c r="L670" s="116"/>
      <c r="M670" s="121"/>
      <c r="P670" s="122">
        <f>SUM(P671:P690)</f>
        <v>0</v>
      </c>
      <c r="R670" s="122">
        <f>SUM(R671:R690)</f>
        <v>0.08769624</v>
      </c>
      <c r="T670" s="123">
        <f>SUM(T671:T690)</f>
        <v>0</v>
      </c>
      <c r="AR670" s="117" t="s">
        <v>87</v>
      </c>
      <c r="AT670" s="124" t="s">
        <v>76</v>
      </c>
      <c r="AU670" s="124" t="s">
        <v>85</v>
      </c>
      <c r="AY670" s="117" t="s">
        <v>177</v>
      </c>
      <c r="BK670" s="125">
        <f>SUM(BK671:BK690)</f>
        <v>0</v>
      </c>
    </row>
    <row r="671" spans="2:65" s="1" customFormat="1" ht="24.2" customHeight="1">
      <c r="B671" s="128"/>
      <c r="C671" s="129" t="s">
        <v>2857</v>
      </c>
      <c r="D671" s="129" t="s">
        <v>180</v>
      </c>
      <c r="E671" s="130" t="s">
        <v>3699</v>
      </c>
      <c r="F671" s="131" t="s">
        <v>3700</v>
      </c>
      <c r="G671" s="132" t="s">
        <v>332</v>
      </c>
      <c r="H671" s="133">
        <v>115.542</v>
      </c>
      <c r="I671" s="134"/>
      <c r="J671" s="135">
        <f>ROUND(I671*H671,2)</f>
        <v>0</v>
      </c>
      <c r="K671" s="131" t="s">
        <v>184</v>
      </c>
      <c r="L671" s="33"/>
      <c r="M671" s="136" t="s">
        <v>3</v>
      </c>
      <c r="N671" s="137" t="s">
        <v>48</v>
      </c>
      <c r="P671" s="138">
        <f>O671*H671</f>
        <v>0</v>
      </c>
      <c r="Q671" s="138">
        <v>0</v>
      </c>
      <c r="R671" s="138">
        <f>Q671*H671</f>
        <v>0</v>
      </c>
      <c r="S671" s="138">
        <v>0</v>
      </c>
      <c r="T671" s="139">
        <f>S671*H671</f>
        <v>0</v>
      </c>
      <c r="AR671" s="140" t="s">
        <v>237</v>
      </c>
      <c r="AT671" s="140" t="s">
        <v>180</v>
      </c>
      <c r="AU671" s="140" t="s">
        <v>87</v>
      </c>
      <c r="AY671" s="18" t="s">
        <v>177</v>
      </c>
      <c r="BE671" s="141">
        <f>IF(N671="základní",J671,0)</f>
        <v>0</v>
      </c>
      <c r="BF671" s="141">
        <f>IF(N671="snížená",J671,0)</f>
        <v>0</v>
      </c>
      <c r="BG671" s="141">
        <f>IF(N671="zákl. přenesená",J671,0)</f>
        <v>0</v>
      </c>
      <c r="BH671" s="141">
        <f>IF(N671="sníž. přenesená",J671,0)</f>
        <v>0</v>
      </c>
      <c r="BI671" s="141">
        <f>IF(N671="nulová",J671,0)</f>
        <v>0</v>
      </c>
      <c r="BJ671" s="18" t="s">
        <v>85</v>
      </c>
      <c r="BK671" s="141">
        <f>ROUND(I671*H671,2)</f>
        <v>0</v>
      </c>
      <c r="BL671" s="18" t="s">
        <v>237</v>
      </c>
      <c r="BM671" s="140" t="s">
        <v>3701</v>
      </c>
    </row>
    <row r="672" spans="2:47" s="1" customFormat="1" ht="19.5">
      <c r="B672" s="33"/>
      <c r="D672" s="142" t="s">
        <v>187</v>
      </c>
      <c r="F672" s="143" t="s">
        <v>3702</v>
      </c>
      <c r="I672" s="144"/>
      <c r="L672" s="33"/>
      <c r="M672" s="145"/>
      <c r="T672" s="54"/>
      <c r="AT672" s="18" t="s">
        <v>187</v>
      </c>
      <c r="AU672" s="18" t="s">
        <v>87</v>
      </c>
    </row>
    <row r="673" spans="2:47" s="1" customFormat="1" ht="11.25">
      <c r="B673" s="33"/>
      <c r="D673" s="146" t="s">
        <v>189</v>
      </c>
      <c r="F673" s="147" t="s">
        <v>3703</v>
      </c>
      <c r="I673" s="144"/>
      <c r="L673" s="33"/>
      <c r="M673" s="145"/>
      <c r="T673" s="54"/>
      <c r="AT673" s="18" t="s">
        <v>189</v>
      </c>
      <c r="AU673" s="18" t="s">
        <v>87</v>
      </c>
    </row>
    <row r="674" spans="2:47" s="1" customFormat="1" ht="29.25">
      <c r="B674" s="33"/>
      <c r="D674" s="142" t="s">
        <v>191</v>
      </c>
      <c r="F674" s="148" t="s">
        <v>3704</v>
      </c>
      <c r="I674" s="144"/>
      <c r="L674" s="33"/>
      <c r="M674" s="145"/>
      <c r="T674" s="54"/>
      <c r="AT674" s="18" t="s">
        <v>191</v>
      </c>
      <c r="AU674" s="18" t="s">
        <v>87</v>
      </c>
    </row>
    <row r="675" spans="2:51" s="12" customFormat="1" ht="11.25">
      <c r="B675" s="149"/>
      <c r="D675" s="142" t="s">
        <v>193</v>
      </c>
      <c r="E675" s="150" t="s">
        <v>3</v>
      </c>
      <c r="F675" s="151" t="s">
        <v>3705</v>
      </c>
      <c r="H675" s="152">
        <v>50.67</v>
      </c>
      <c r="I675" s="153"/>
      <c r="L675" s="149"/>
      <c r="M675" s="154"/>
      <c r="T675" s="155"/>
      <c r="AT675" s="150" t="s">
        <v>193</v>
      </c>
      <c r="AU675" s="150" t="s">
        <v>87</v>
      </c>
      <c r="AV675" s="12" t="s">
        <v>87</v>
      </c>
      <c r="AW675" s="12" t="s">
        <v>36</v>
      </c>
      <c r="AX675" s="12" t="s">
        <v>77</v>
      </c>
      <c r="AY675" s="150" t="s">
        <v>177</v>
      </c>
    </row>
    <row r="676" spans="2:51" s="12" customFormat="1" ht="11.25">
      <c r="B676" s="149"/>
      <c r="D676" s="142" t="s">
        <v>193</v>
      </c>
      <c r="E676" s="150" t="s">
        <v>3</v>
      </c>
      <c r="F676" s="151" t="s">
        <v>2255</v>
      </c>
      <c r="H676" s="152">
        <v>34.56</v>
      </c>
      <c r="I676" s="153"/>
      <c r="L676" s="149"/>
      <c r="M676" s="154"/>
      <c r="T676" s="155"/>
      <c r="AT676" s="150" t="s">
        <v>193</v>
      </c>
      <c r="AU676" s="150" t="s">
        <v>87</v>
      </c>
      <c r="AV676" s="12" t="s">
        <v>87</v>
      </c>
      <c r="AW676" s="12" t="s">
        <v>36</v>
      </c>
      <c r="AX676" s="12" t="s">
        <v>77</v>
      </c>
      <c r="AY676" s="150" t="s">
        <v>177</v>
      </c>
    </row>
    <row r="677" spans="2:51" s="12" customFormat="1" ht="11.25">
      <c r="B677" s="149"/>
      <c r="D677" s="142" t="s">
        <v>193</v>
      </c>
      <c r="E677" s="150" t="s">
        <v>3</v>
      </c>
      <c r="F677" s="151" t="s">
        <v>3706</v>
      </c>
      <c r="H677" s="152">
        <v>14.472</v>
      </c>
      <c r="I677" s="153"/>
      <c r="L677" s="149"/>
      <c r="M677" s="154"/>
      <c r="T677" s="155"/>
      <c r="AT677" s="150" t="s">
        <v>193</v>
      </c>
      <c r="AU677" s="150" t="s">
        <v>87</v>
      </c>
      <c r="AV677" s="12" t="s">
        <v>87</v>
      </c>
      <c r="AW677" s="12" t="s">
        <v>36</v>
      </c>
      <c r="AX677" s="12" t="s">
        <v>77</v>
      </c>
      <c r="AY677" s="150" t="s">
        <v>177</v>
      </c>
    </row>
    <row r="678" spans="2:51" s="12" customFormat="1" ht="11.25">
      <c r="B678" s="149"/>
      <c r="D678" s="142" t="s">
        <v>193</v>
      </c>
      <c r="E678" s="150" t="s">
        <v>3</v>
      </c>
      <c r="F678" s="151" t="s">
        <v>3707</v>
      </c>
      <c r="H678" s="152">
        <v>15.84</v>
      </c>
      <c r="I678" s="153"/>
      <c r="L678" s="149"/>
      <c r="M678" s="154"/>
      <c r="T678" s="155"/>
      <c r="AT678" s="150" t="s">
        <v>193</v>
      </c>
      <c r="AU678" s="150" t="s">
        <v>87</v>
      </c>
      <c r="AV678" s="12" t="s">
        <v>87</v>
      </c>
      <c r="AW678" s="12" t="s">
        <v>36</v>
      </c>
      <c r="AX678" s="12" t="s">
        <v>77</v>
      </c>
      <c r="AY678" s="150" t="s">
        <v>177</v>
      </c>
    </row>
    <row r="679" spans="2:51" s="15" customFormat="1" ht="11.25">
      <c r="B679" s="169"/>
      <c r="D679" s="142" t="s">
        <v>193</v>
      </c>
      <c r="E679" s="170" t="s">
        <v>3</v>
      </c>
      <c r="F679" s="171" t="s">
        <v>201</v>
      </c>
      <c r="H679" s="172">
        <v>115.542</v>
      </c>
      <c r="I679" s="173"/>
      <c r="L679" s="169"/>
      <c r="M679" s="174"/>
      <c r="T679" s="175"/>
      <c r="AT679" s="170" t="s">
        <v>193</v>
      </c>
      <c r="AU679" s="170" t="s">
        <v>87</v>
      </c>
      <c r="AV679" s="15" t="s">
        <v>185</v>
      </c>
      <c r="AW679" s="15" t="s">
        <v>36</v>
      </c>
      <c r="AX679" s="15" t="s">
        <v>85</v>
      </c>
      <c r="AY679" s="170" t="s">
        <v>177</v>
      </c>
    </row>
    <row r="680" spans="2:65" s="1" customFormat="1" ht="16.5" customHeight="1">
      <c r="B680" s="128"/>
      <c r="C680" s="179" t="s">
        <v>2859</v>
      </c>
      <c r="D680" s="179" t="s">
        <v>484</v>
      </c>
      <c r="E680" s="180" t="s">
        <v>3708</v>
      </c>
      <c r="F680" s="181" t="s">
        <v>3709</v>
      </c>
      <c r="G680" s="182" t="s">
        <v>332</v>
      </c>
      <c r="H680" s="183">
        <v>127.096</v>
      </c>
      <c r="I680" s="184"/>
      <c r="J680" s="185">
        <f>ROUND(I680*H680,2)</f>
        <v>0</v>
      </c>
      <c r="K680" s="181" t="s">
        <v>244</v>
      </c>
      <c r="L680" s="186"/>
      <c r="M680" s="187" t="s">
        <v>3</v>
      </c>
      <c r="N680" s="188" t="s">
        <v>48</v>
      </c>
      <c r="P680" s="138">
        <f>O680*H680</f>
        <v>0</v>
      </c>
      <c r="Q680" s="138">
        <v>0.00069</v>
      </c>
      <c r="R680" s="138">
        <f>Q680*H680</f>
        <v>0.08769624</v>
      </c>
      <c r="S680" s="138">
        <v>0</v>
      </c>
      <c r="T680" s="139">
        <f>S680*H680</f>
        <v>0</v>
      </c>
      <c r="AR680" s="140" t="s">
        <v>537</v>
      </c>
      <c r="AT680" s="140" t="s">
        <v>484</v>
      </c>
      <c r="AU680" s="140" t="s">
        <v>87</v>
      </c>
      <c r="AY680" s="18" t="s">
        <v>177</v>
      </c>
      <c r="BE680" s="141">
        <f>IF(N680="základní",J680,0)</f>
        <v>0</v>
      </c>
      <c r="BF680" s="141">
        <f>IF(N680="snížená",J680,0)</f>
        <v>0</v>
      </c>
      <c r="BG680" s="141">
        <f>IF(N680="zákl. přenesená",J680,0)</f>
        <v>0</v>
      </c>
      <c r="BH680" s="141">
        <f>IF(N680="sníž. přenesená",J680,0)</f>
        <v>0</v>
      </c>
      <c r="BI680" s="141">
        <f>IF(N680="nulová",J680,0)</f>
        <v>0</v>
      </c>
      <c r="BJ680" s="18" t="s">
        <v>85</v>
      </c>
      <c r="BK680" s="141">
        <f>ROUND(I680*H680,2)</f>
        <v>0</v>
      </c>
      <c r="BL680" s="18" t="s">
        <v>237</v>
      </c>
      <c r="BM680" s="140" t="s">
        <v>3710</v>
      </c>
    </row>
    <row r="681" spans="2:47" s="1" customFormat="1" ht="11.25">
      <c r="B681" s="33"/>
      <c r="D681" s="142" t="s">
        <v>187</v>
      </c>
      <c r="F681" s="143" t="s">
        <v>3709</v>
      </c>
      <c r="I681" s="144"/>
      <c r="L681" s="33"/>
      <c r="M681" s="145"/>
      <c r="T681" s="54"/>
      <c r="AT681" s="18" t="s">
        <v>187</v>
      </c>
      <c r="AU681" s="18" t="s">
        <v>87</v>
      </c>
    </row>
    <row r="682" spans="2:51" s="12" customFormat="1" ht="11.25">
      <c r="B682" s="149"/>
      <c r="D682" s="142" t="s">
        <v>193</v>
      </c>
      <c r="F682" s="151" t="s">
        <v>3711</v>
      </c>
      <c r="H682" s="152">
        <v>127.096</v>
      </c>
      <c r="I682" s="153"/>
      <c r="L682" s="149"/>
      <c r="M682" s="154"/>
      <c r="T682" s="155"/>
      <c r="AT682" s="150" t="s">
        <v>193</v>
      </c>
      <c r="AU682" s="150" t="s">
        <v>87</v>
      </c>
      <c r="AV682" s="12" t="s">
        <v>87</v>
      </c>
      <c r="AW682" s="12" t="s">
        <v>4</v>
      </c>
      <c r="AX682" s="12" t="s">
        <v>85</v>
      </c>
      <c r="AY682" s="150" t="s">
        <v>177</v>
      </c>
    </row>
    <row r="683" spans="2:65" s="1" customFormat="1" ht="24.2" customHeight="1">
      <c r="B683" s="128"/>
      <c r="C683" s="129" t="s">
        <v>2861</v>
      </c>
      <c r="D683" s="129" t="s">
        <v>180</v>
      </c>
      <c r="E683" s="130" t="s">
        <v>3712</v>
      </c>
      <c r="F683" s="131" t="s">
        <v>3713</v>
      </c>
      <c r="G683" s="132" t="s">
        <v>183</v>
      </c>
      <c r="H683" s="133">
        <v>0.088</v>
      </c>
      <c r="I683" s="134"/>
      <c r="J683" s="135">
        <f>ROUND(I683*H683,2)</f>
        <v>0</v>
      </c>
      <c r="K683" s="131" t="s">
        <v>184</v>
      </c>
      <c r="L683" s="33"/>
      <c r="M683" s="136" t="s">
        <v>3</v>
      </c>
      <c r="N683" s="137" t="s">
        <v>48</v>
      </c>
      <c r="P683" s="138">
        <f>O683*H683</f>
        <v>0</v>
      </c>
      <c r="Q683" s="138">
        <v>0</v>
      </c>
      <c r="R683" s="138">
        <f>Q683*H683</f>
        <v>0</v>
      </c>
      <c r="S683" s="138">
        <v>0</v>
      </c>
      <c r="T683" s="139">
        <f>S683*H683</f>
        <v>0</v>
      </c>
      <c r="AR683" s="140" t="s">
        <v>237</v>
      </c>
      <c r="AT683" s="140" t="s">
        <v>180</v>
      </c>
      <c r="AU683" s="140" t="s">
        <v>87</v>
      </c>
      <c r="AY683" s="18" t="s">
        <v>177</v>
      </c>
      <c r="BE683" s="141">
        <f>IF(N683="základní",J683,0)</f>
        <v>0</v>
      </c>
      <c r="BF683" s="141">
        <f>IF(N683="snížená",J683,0)</f>
        <v>0</v>
      </c>
      <c r="BG683" s="141">
        <f>IF(N683="zákl. přenesená",J683,0)</f>
        <v>0</v>
      </c>
      <c r="BH683" s="141">
        <f>IF(N683="sníž. přenesená",J683,0)</f>
        <v>0</v>
      </c>
      <c r="BI683" s="141">
        <f>IF(N683="nulová",J683,0)</f>
        <v>0</v>
      </c>
      <c r="BJ683" s="18" t="s">
        <v>85</v>
      </c>
      <c r="BK683" s="141">
        <f>ROUND(I683*H683,2)</f>
        <v>0</v>
      </c>
      <c r="BL683" s="18" t="s">
        <v>237</v>
      </c>
      <c r="BM683" s="140" t="s">
        <v>3714</v>
      </c>
    </row>
    <row r="684" spans="2:47" s="1" customFormat="1" ht="29.25">
      <c r="B684" s="33"/>
      <c r="D684" s="142" t="s">
        <v>187</v>
      </c>
      <c r="F684" s="143" t="s">
        <v>3715</v>
      </c>
      <c r="I684" s="144"/>
      <c r="L684" s="33"/>
      <c r="M684" s="145"/>
      <c r="T684" s="54"/>
      <c r="AT684" s="18" t="s">
        <v>187</v>
      </c>
      <c r="AU684" s="18" t="s">
        <v>87</v>
      </c>
    </row>
    <row r="685" spans="2:47" s="1" customFormat="1" ht="11.25">
      <c r="B685" s="33"/>
      <c r="D685" s="146" t="s">
        <v>189</v>
      </c>
      <c r="F685" s="147" t="s">
        <v>3716</v>
      </c>
      <c r="I685" s="144"/>
      <c r="L685" s="33"/>
      <c r="M685" s="145"/>
      <c r="T685" s="54"/>
      <c r="AT685" s="18" t="s">
        <v>189</v>
      </c>
      <c r="AU685" s="18" t="s">
        <v>87</v>
      </c>
    </row>
    <row r="686" spans="2:47" s="1" customFormat="1" ht="126.75">
      <c r="B686" s="33"/>
      <c r="D686" s="142" t="s">
        <v>191</v>
      </c>
      <c r="F686" s="148" t="s">
        <v>2294</v>
      </c>
      <c r="I686" s="144"/>
      <c r="L686" s="33"/>
      <c r="M686" s="145"/>
      <c r="T686" s="54"/>
      <c r="AT686" s="18" t="s">
        <v>191</v>
      </c>
      <c r="AU686" s="18" t="s">
        <v>87</v>
      </c>
    </row>
    <row r="687" spans="2:65" s="1" customFormat="1" ht="24.2" customHeight="1">
      <c r="B687" s="128"/>
      <c r="C687" s="129" t="s">
        <v>2869</v>
      </c>
      <c r="D687" s="129" t="s">
        <v>180</v>
      </c>
      <c r="E687" s="130" t="s">
        <v>3717</v>
      </c>
      <c r="F687" s="131" t="s">
        <v>3718</v>
      </c>
      <c r="G687" s="132" t="s">
        <v>183</v>
      </c>
      <c r="H687" s="133">
        <v>0.088</v>
      </c>
      <c r="I687" s="134"/>
      <c r="J687" s="135">
        <f>ROUND(I687*H687,2)</f>
        <v>0</v>
      </c>
      <c r="K687" s="131" t="s">
        <v>184</v>
      </c>
      <c r="L687" s="33"/>
      <c r="M687" s="136" t="s">
        <v>3</v>
      </c>
      <c r="N687" s="137" t="s">
        <v>48</v>
      </c>
      <c r="P687" s="138">
        <f>O687*H687</f>
        <v>0</v>
      </c>
      <c r="Q687" s="138">
        <v>0</v>
      </c>
      <c r="R687" s="138">
        <f>Q687*H687</f>
        <v>0</v>
      </c>
      <c r="S687" s="138">
        <v>0</v>
      </c>
      <c r="T687" s="139">
        <f>S687*H687</f>
        <v>0</v>
      </c>
      <c r="AR687" s="140" t="s">
        <v>237</v>
      </c>
      <c r="AT687" s="140" t="s">
        <v>180</v>
      </c>
      <c r="AU687" s="140" t="s">
        <v>87</v>
      </c>
      <c r="AY687" s="18" t="s">
        <v>177</v>
      </c>
      <c r="BE687" s="141">
        <f>IF(N687="základní",J687,0)</f>
        <v>0</v>
      </c>
      <c r="BF687" s="141">
        <f>IF(N687="snížená",J687,0)</f>
        <v>0</v>
      </c>
      <c r="BG687" s="141">
        <f>IF(N687="zákl. přenesená",J687,0)</f>
        <v>0</v>
      </c>
      <c r="BH687" s="141">
        <f>IF(N687="sníž. přenesená",J687,0)</f>
        <v>0</v>
      </c>
      <c r="BI687" s="141">
        <f>IF(N687="nulová",J687,0)</f>
        <v>0</v>
      </c>
      <c r="BJ687" s="18" t="s">
        <v>85</v>
      </c>
      <c r="BK687" s="141">
        <f>ROUND(I687*H687,2)</f>
        <v>0</v>
      </c>
      <c r="BL687" s="18" t="s">
        <v>237</v>
      </c>
      <c r="BM687" s="140" t="s">
        <v>3719</v>
      </c>
    </row>
    <row r="688" spans="2:47" s="1" customFormat="1" ht="29.25">
      <c r="B688" s="33"/>
      <c r="D688" s="142" t="s">
        <v>187</v>
      </c>
      <c r="F688" s="143" t="s">
        <v>3720</v>
      </c>
      <c r="I688" s="144"/>
      <c r="L688" s="33"/>
      <c r="M688" s="145"/>
      <c r="T688" s="54"/>
      <c r="AT688" s="18" t="s">
        <v>187</v>
      </c>
      <c r="AU688" s="18" t="s">
        <v>87</v>
      </c>
    </row>
    <row r="689" spans="2:47" s="1" customFormat="1" ht="11.25">
      <c r="B689" s="33"/>
      <c r="D689" s="146" t="s">
        <v>189</v>
      </c>
      <c r="F689" s="147" t="s">
        <v>3721</v>
      </c>
      <c r="I689" s="144"/>
      <c r="L689" s="33"/>
      <c r="M689" s="145"/>
      <c r="T689" s="54"/>
      <c r="AT689" s="18" t="s">
        <v>189</v>
      </c>
      <c r="AU689" s="18" t="s">
        <v>87</v>
      </c>
    </row>
    <row r="690" spans="2:47" s="1" customFormat="1" ht="126.75">
      <c r="B690" s="33"/>
      <c r="D690" s="142" t="s">
        <v>191</v>
      </c>
      <c r="F690" s="148" t="s">
        <v>2294</v>
      </c>
      <c r="I690" s="144"/>
      <c r="L690" s="33"/>
      <c r="M690" s="145"/>
      <c r="T690" s="54"/>
      <c r="AT690" s="18" t="s">
        <v>191</v>
      </c>
      <c r="AU690" s="18" t="s">
        <v>87</v>
      </c>
    </row>
    <row r="691" spans="2:63" s="11" customFormat="1" ht="25.9" customHeight="1">
      <c r="B691" s="116"/>
      <c r="D691" s="117" t="s">
        <v>76</v>
      </c>
      <c r="E691" s="118" t="s">
        <v>484</v>
      </c>
      <c r="F691" s="118" t="s">
        <v>3722</v>
      </c>
      <c r="I691" s="119"/>
      <c r="J691" s="120">
        <f>BK691</f>
        <v>0</v>
      </c>
      <c r="L691" s="116"/>
      <c r="M691" s="121"/>
      <c r="P691" s="122">
        <f>P692</f>
        <v>0</v>
      </c>
      <c r="R691" s="122">
        <f>R692</f>
        <v>0</v>
      </c>
      <c r="T691" s="123">
        <f>T692</f>
        <v>0</v>
      </c>
      <c r="AR691" s="117" t="s">
        <v>198</v>
      </c>
      <c r="AT691" s="124" t="s">
        <v>76</v>
      </c>
      <c r="AU691" s="124" t="s">
        <v>77</v>
      </c>
      <c r="AY691" s="117" t="s">
        <v>177</v>
      </c>
      <c r="BK691" s="125">
        <f>BK692</f>
        <v>0</v>
      </c>
    </row>
    <row r="692" spans="2:63" s="11" customFormat="1" ht="22.9" customHeight="1">
      <c r="B692" s="116"/>
      <c r="D692" s="117" t="s">
        <v>76</v>
      </c>
      <c r="E692" s="126" t="s">
        <v>3723</v>
      </c>
      <c r="F692" s="126" t="s">
        <v>3724</v>
      </c>
      <c r="I692" s="119"/>
      <c r="J692" s="127">
        <f>BK692</f>
        <v>0</v>
      </c>
      <c r="L692" s="116"/>
      <c r="M692" s="121"/>
      <c r="P692" s="122">
        <f>SUM(P693:P694)</f>
        <v>0</v>
      </c>
      <c r="R692" s="122">
        <f>SUM(R693:R694)</f>
        <v>0</v>
      </c>
      <c r="T692" s="123">
        <f>SUM(T693:T694)</f>
        <v>0</v>
      </c>
      <c r="AR692" s="117" t="s">
        <v>198</v>
      </c>
      <c r="AT692" s="124" t="s">
        <v>76</v>
      </c>
      <c r="AU692" s="124" t="s">
        <v>85</v>
      </c>
      <c r="AY692" s="117" t="s">
        <v>177</v>
      </c>
      <c r="BK692" s="125">
        <f>SUM(BK693:BK694)</f>
        <v>0</v>
      </c>
    </row>
    <row r="693" spans="2:65" s="1" customFormat="1" ht="16.5" customHeight="1">
      <c r="B693" s="128"/>
      <c r="C693" s="129" t="s">
        <v>2878</v>
      </c>
      <c r="D693" s="129" t="s">
        <v>180</v>
      </c>
      <c r="E693" s="130" t="s">
        <v>249</v>
      </c>
      <c r="F693" s="131" t="s">
        <v>3725</v>
      </c>
      <c r="G693" s="132" t="s">
        <v>243</v>
      </c>
      <c r="H693" s="133">
        <v>1</v>
      </c>
      <c r="I693" s="134"/>
      <c r="J693" s="135">
        <f>ROUND(I693*H693,2)</f>
        <v>0</v>
      </c>
      <c r="K693" s="131" t="s">
        <v>244</v>
      </c>
      <c r="L693" s="33"/>
      <c r="M693" s="136" t="s">
        <v>3</v>
      </c>
      <c r="N693" s="137" t="s">
        <v>48</v>
      </c>
      <c r="P693" s="138">
        <f>O693*H693</f>
        <v>0</v>
      </c>
      <c r="Q693" s="138">
        <v>0</v>
      </c>
      <c r="R693" s="138">
        <f>Q693*H693</f>
        <v>0</v>
      </c>
      <c r="S693" s="138">
        <v>0</v>
      </c>
      <c r="T693" s="139">
        <f>S693*H693</f>
        <v>0</v>
      </c>
      <c r="AR693" s="140" t="s">
        <v>1229</v>
      </c>
      <c r="AT693" s="140" t="s">
        <v>180</v>
      </c>
      <c r="AU693" s="140" t="s">
        <v>87</v>
      </c>
      <c r="AY693" s="18" t="s">
        <v>177</v>
      </c>
      <c r="BE693" s="141">
        <f>IF(N693="základní",J693,0)</f>
        <v>0</v>
      </c>
      <c r="BF693" s="141">
        <f>IF(N693="snížená",J693,0)</f>
        <v>0</v>
      </c>
      <c r="BG693" s="141">
        <f>IF(N693="zákl. přenesená",J693,0)</f>
        <v>0</v>
      </c>
      <c r="BH693" s="141">
        <f>IF(N693="sníž. přenesená",J693,0)</f>
        <v>0</v>
      </c>
      <c r="BI693" s="141">
        <f>IF(N693="nulová",J693,0)</f>
        <v>0</v>
      </c>
      <c r="BJ693" s="18" t="s">
        <v>85</v>
      </c>
      <c r="BK693" s="141">
        <f>ROUND(I693*H693,2)</f>
        <v>0</v>
      </c>
      <c r="BL693" s="18" t="s">
        <v>1229</v>
      </c>
      <c r="BM693" s="140" t="s">
        <v>3726</v>
      </c>
    </row>
    <row r="694" spans="2:47" s="1" customFormat="1" ht="11.25">
      <c r="B694" s="33"/>
      <c r="D694" s="142" t="s">
        <v>187</v>
      </c>
      <c r="F694" s="143" t="s">
        <v>3725</v>
      </c>
      <c r="I694" s="144"/>
      <c r="L694" s="33"/>
      <c r="M694" s="145"/>
      <c r="T694" s="54"/>
      <c r="AT694" s="18" t="s">
        <v>187</v>
      </c>
      <c r="AU694" s="18" t="s">
        <v>87</v>
      </c>
    </row>
    <row r="695" spans="2:63" s="11" customFormat="1" ht="25.9" customHeight="1">
      <c r="B695" s="116"/>
      <c r="D695" s="117" t="s">
        <v>76</v>
      </c>
      <c r="E695" s="118" t="s">
        <v>313</v>
      </c>
      <c r="F695" s="118" t="s">
        <v>314</v>
      </c>
      <c r="I695" s="119"/>
      <c r="J695" s="120">
        <f>BK695</f>
        <v>0</v>
      </c>
      <c r="L695" s="116"/>
      <c r="M695" s="121"/>
      <c r="P695" s="122">
        <f>SUM(P696:P700)</f>
        <v>0</v>
      </c>
      <c r="R695" s="122">
        <f>SUM(R696:R700)</f>
        <v>0</v>
      </c>
      <c r="T695" s="123">
        <f>SUM(T696:T700)</f>
        <v>0</v>
      </c>
      <c r="AR695" s="117" t="s">
        <v>185</v>
      </c>
      <c r="AT695" s="124" t="s">
        <v>76</v>
      </c>
      <c r="AU695" s="124" t="s">
        <v>77</v>
      </c>
      <c r="AY695" s="117" t="s">
        <v>177</v>
      </c>
      <c r="BK695" s="125">
        <f>SUM(BK696:BK700)</f>
        <v>0</v>
      </c>
    </row>
    <row r="696" spans="2:65" s="1" customFormat="1" ht="16.5" customHeight="1">
      <c r="B696" s="128"/>
      <c r="C696" s="129" t="s">
        <v>2884</v>
      </c>
      <c r="D696" s="129" t="s">
        <v>180</v>
      </c>
      <c r="E696" s="130" t="s">
        <v>528</v>
      </c>
      <c r="F696" s="131" t="s">
        <v>529</v>
      </c>
      <c r="G696" s="132" t="s">
        <v>305</v>
      </c>
      <c r="H696" s="133">
        <v>150</v>
      </c>
      <c r="I696" s="134"/>
      <c r="J696" s="135">
        <f>ROUND(I696*H696,2)</f>
        <v>0</v>
      </c>
      <c r="K696" s="131" t="s">
        <v>184</v>
      </c>
      <c r="L696" s="33"/>
      <c r="M696" s="136" t="s">
        <v>3</v>
      </c>
      <c r="N696" s="137" t="s">
        <v>48</v>
      </c>
      <c r="P696" s="138">
        <f>O696*H696</f>
        <v>0</v>
      </c>
      <c r="Q696" s="138">
        <v>0</v>
      </c>
      <c r="R696" s="138">
        <f>Q696*H696</f>
        <v>0</v>
      </c>
      <c r="S696" s="138">
        <v>0</v>
      </c>
      <c r="T696" s="139">
        <f>S696*H696</f>
        <v>0</v>
      </c>
      <c r="AR696" s="140" t="s">
        <v>318</v>
      </c>
      <c r="AT696" s="140" t="s">
        <v>180</v>
      </c>
      <c r="AU696" s="140" t="s">
        <v>85</v>
      </c>
      <c r="AY696" s="18" t="s">
        <v>177</v>
      </c>
      <c r="BE696" s="141">
        <f>IF(N696="základní",J696,0)</f>
        <v>0</v>
      </c>
      <c r="BF696" s="141">
        <f>IF(N696="snížená",J696,0)</f>
        <v>0</v>
      </c>
      <c r="BG696" s="141">
        <f>IF(N696="zákl. přenesená",J696,0)</f>
        <v>0</v>
      </c>
      <c r="BH696" s="141">
        <f>IF(N696="sníž. přenesená",J696,0)</f>
        <v>0</v>
      </c>
      <c r="BI696" s="141">
        <f>IF(N696="nulová",J696,0)</f>
        <v>0</v>
      </c>
      <c r="BJ696" s="18" t="s">
        <v>85</v>
      </c>
      <c r="BK696" s="141">
        <f>ROUND(I696*H696,2)</f>
        <v>0</v>
      </c>
      <c r="BL696" s="18" t="s">
        <v>318</v>
      </c>
      <c r="BM696" s="140" t="s">
        <v>3727</v>
      </c>
    </row>
    <row r="697" spans="2:47" s="1" customFormat="1" ht="19.5">
      <c r="B697" s="33"/>
      <c r="D697" s="142" t="s">
        <v>187</v>
      </c>
      <c r="F697" s="143" t="s">
        <v>531</v>
      </c>
      <c r="I697" s="144"/>
      <c r="L697" s="33"/>
      <c r="M697" s="145"/>
      <c r="T697" s="54"/>
      <c r="AT697" s="18" t="s">
        <v>187</v>
      </c>
      <c r="AU697" s="18" t="s">
        <v>85</v>
      </c>
    </row>
    <row r="698" spans="2:47" s="1" customFormat="1" ht="11.25">
      <c r="B698" s="33"/>
      <c r="D698" s="146" t="s">
        <v>189</v>
      </c>
      <c r="F698" s="147" t="s">
        <v>532</v>
      </c>
      <c r="I698" s="144"/>
      <c r="L698" s="33"/>
      <c r="M698" s="145"/>
      <c r="T698" s="54"/>
      <c r="AT698" s="18" t="s">
        <v>189</v>
      </c>
      <c r="AU698" s="18" t="s">
        <v>85</v>
      </c>
    </row>
    <row r="699" spans="2:51" s="13" customFormat="1" ht="11.25">
      <c r="B699" s="156"/>
      <c r="D699" s="142" t="s">
        <v>193</v>
      </c>
      <c r="E699" s="157" t="s">
        <v>3</v>
      </c>
      <c r="F699" s="158" t="s">
        <v>3728</v>
      </c>
      <c r="H699" s="157" t="s">
        <v>3</v>
      </c>
      <c r="I699" s="159"/>
      <c r="L699" s="156"/>
      <c r="M699" s="160"/>
      <c r="T699" s="161"/>
      <c r="AT699" s="157" t="s">
        <v>193</v>
      </c>
      <c r="AU699" s="157" t="s">
        <v>85</v>
      </c>
      <c r="AV699" s="13" t="s">
        <v>85</v>
      </c>
      <c r="AW699" s="13" t="s">
        <v>36</v>
      </c>
      <c r="AX699" s="13" t="s">
        <v>77</v>
      </c>
      <c r="AY699" s="157" t="s">
        <v>177</v>
      </c>
    </row>
    <row r="700" spans="2:51" s="12" customFormat="1" ht="11.25">
      <c r="B700" s="149"/>
      <c r="D700" s="142" t="s">
        <v>193</v>
      </c>
      <c r="E700" s="150" t="s">
        <v>3</v>
      </c>
      <c r="F700" s="151" t="s">
        <v>3077</v>
      </c>
      <c r="H700" s="152">
        <v>150</v>
      </c>
      <c r="I700" s="153"/>
      <c r="L700" s="149"/>
      <c r="M700" s="154"/>
      <c r="T700" s="155"/>
      <c r="AT700" s="150" t="s">
        <v>193</v>
      </c>
      <c r="AU700" s="150" t="s">
        <v>85</v>
      </c>
      <c r="AV700" s="12" t="s">
        <v>87</v>
      </c>
      <c r="AW700" s="12" t="s">
        <v>36</v>
      </c>
      <c r="AX700" s="12" t="s">
        <v>85</v>
      </c>
      <c r="AY700" s="150" t="s">
        <v>177</v>
      </c>
    </row>
    <row r="701" spans="2:63" s="11" customFormat="1" ht="25.9" customHeight="1">
      <c r="B701" s="116"/>
      <c r="D701" s="117" t="s">
        <v>76</v>
      </c>
      <c r="E701" s="118" t="s">
        <v>533</v>
      </c>
      <c r="F701" s="118" t="s">
        <v>534</v>
      </c>
      <c r="I701" s="119"/>
      <c r="J701" s="120">
        <f>BK701</f>
        <v>0</v>
      </c>
      <c r="L701" s="116"/>
      <c r="M701" s="121"/>
      <c r="P701" s="122">
        <f>P702</f>
        <v>0</v>
      </c>
      <c r="R701" s="122">
        <f>R702</f>
        <v>0</v>
      </c>
      <c r="T701" s="123">
        <f>T702</f>
        <v>0</v>
      </c>
      <c r="AR701" s="117" t="s">
        <v>200</v>
      </c>
      <c r="AT701" s="124" t="s">
        <v>76</v>
      </c>
      <c r="AU701" s="124" t="s">
        <v>77</v>
      </c>
      <c r="AY701" s="117" t="s">
        <v>177</v>
      </c>
      <c r="BK701" s="125">
        <f>BK702</f>
        <v>0</v>
      </c>
    </row>
    <row r="702" spans="2:63" s="11" customFormat="1" ht="22.9" customHeight="1">
      <c r="B702" s="116"/>
      <c r="D702" s="117" t="s">
        <v>76</v>
      </c>
      <c r="E702" s="126" t="s">
        <v>535</v>
      </c>
      <c r="F702" s="126" t="s">
        <v>536</v>
      </c>
      <c r="I702" s="119"/>
      <c r="J702" s="127">
        <f>BK702</f>
        <v>0</v>
      </c>
      <c r="L702" s="116"/>
      <c r="M702" s="121"/>
      <c r="P702" s="122">
        <f>SUM(P703:P707)</f>
        <v>0</v>
      </c>
      <c r="R702" s="122">
        <f>SUM(R703:R707)</f>
        <v>0</v>
      </c>
      <c r="T702" s="123">
        <f>SUM(T703:T707)</f>
        <v>0</v>
      </c>
      <c r="AR702" s="117" t="s">
        <v>200</v>
      </c>
      <c r="AT702" s="124" t="s">
        <v>76</v>
      </c>
      <c r="AU702" s="124" t="s">
        <v>85</v>
      </c>
      <c r="AY702" s="117" t="s">
        <v>177</v>
      </c>
      <c r="BK702" s="125">
        <f>SUM(BK703:BK707)</f>
        <v>0</v>
      </c>
    </row>
    <row r="703" spans="2:65" s="1" customFormat="1" ht="16.5" customHeight="1">
      <c r="B703" s="128"/>
      <c r="C703" s="129" t="s">
        <v>2892</v>
      </c>
      <c r="D703" s="129" t="s">
        <v>180</v>
      </c>
      <c r="E703" s="130" t="s">
        <v>3729</v>
      </c>
      <c r="F703" s="131" t="s">
        <v>3730</v>
      </c>
      <c r="G703" s="132" t="s">
        <v>3731</v>
      </c>
      <c r="H703" s="133">
        <v>1</v>
      </c>
      <c r="I703" s="134"/>
      <c r="J703" s="135">
        <f>ROUND(I703*H703,2)</f>
        <v>0</v>
      </c>
      <c r="K703" s="131" t="s">
        <v>184</v>
      </c>
      <c r="L703" s="33"/>
      <c r="M703" s="136" t="s">
        <v>3</v>
      </c>
      <c r="N703" s="137" t="s">
        <v>48</v>
      </c>
      <c r="P703" s="138">
        <f>O703*H703</f>
        <v>0</v>
      </c>
      <c r="Q703" s="138">
        <v>0</v>
      </c>
      <c r="R703" s="138">
        <f>Q703*H703</f>
        <v>0</v>
      </c>
      <c r="S703" s="138">
        <v>0</v>
      </c>
      <c r="T703" s="139">
        <f>S703*H703</f>
        <v>0</v>
      </c>
      <c r="AR703" s="140" t="s">
        <v>540</v>
      </c>
      <c r="AT703" s="140" t="s">
        <v>180</v>
      </c>
      <c r="AU703" s="140" t="s">
        <v>87</v>
      </c>
      <c r="AY703" s="18" t="s">
        <v>177</v>
      </c>
      <c r="BE703" s="141">
        <f>IF(N703="základní",J703,0)</f>
        <v>0</v>
      </c>
      <c r="BF703" s="141">
        <f>IF(N703="snížená",J703,0)</f>
        <v>0</v>
      </c>
      <c r="BG703" s="141">
        <f>IF(N703="zákl. přenesená",J703,0)</f>
        <v>0</v>
      </c>
      <c r="BH703" s="141">
        <f>IF(N703="sníž. přenesená",J703,0)</f>
        <v>0</v>
      </c>
      <c r="BI703" s="141">
        <f>IF(N703="nulová",J703,0)</f>
        <v>0</v>
      </c>
      <c r="BJ703" s="18" t="s">
        <v>85</v>
      </c>
      <c r="BK703" s="141">
        <f>ROUND(I703*H703,2)</f>
        <v>0</v>
      </c>
      <c r="BL703" s="18" t="s">
        <v>540</v>
      </c>
      <c r="BM703" s="140" t="s">
        <v>3732</v>
      </c>
    </row>
    <row r="704" spans="2:47" s="1" customFormat="1" ht="11.25">
      <c r="B704" s="33"/>
      <c r="D704" s="142" t="s">
        <v>187</v>
      </c>
      <c r="F704" s="143" t="s">
        <v>3730</v>
      </c>
      <c r="I704" s="144"/>
      <c r="L704" s="33"/>
      <c r="M704" s="145"/>
      <c r="T704" s="54"/>
      <c r="AT704" s="18" t="s">
        <v>187</v>
      </c>
      <c r="AU704" s="18" t="s">
        <v>87</v>
      </c>
    </row>
    <row r="705" spans="2:47" s="1" customFormat="1" ht="11.25">
      <c r="B705" s="33"/>
      <c r="D705" s="146" t="s">
        <v>189</v>
      </c>
      <c r="F705" s="147" t="s">
        <v>3733</v>
      </c>
      <c r="I705" s="144"/>
      <c r="L705" s="33"/>
      <c r="M705" s="145"/>
      <c r="T705" s="54"/>
      <c r="AT705" s="18" t="s">
        <v>189</v>
      </c>
      <c r="AU705" s="18" t="s">
        <v>87</v>
      </c>
    </row>
    <row r="706" spans="2:51" s="13" customFormat="1" ht="11.25">
      <c r="B706" s="156"/>
      <c r="D706" s="142" t="s">
        <v>193</v>
      </c>
      <c r="E706" s="157" t="s">
        <v>3</v>
      </c>
      <c r="F706" s="158" t="s">
        <v>3734</v>
      </c>
      <c r="H706" s="157" t="s">
        <v>3</v>
      </c>
      <c r="I706" s="159"/>
      <c r="L706" s="156"/>
      <c r="M706" s="160"/>
      <c r="T706" s="161"/>
      <c r="AT706" s="157" t="s">
        <v>193</v>
      </c>
      <c r="AU706" s="157" t="s">
        <v>87</v>
      </c>
      <c r="AV706" s="13" t="s">
        <v>85</v>
      </c>
      <c r="AW706" s="13" t="s">
        <v>36</v>
      </c>
      <c r="AX706" s="13" t="s">
        <v>77</v>
      </c>
      <c r="AY706" s="157" t="s">
        <v>177</v>
      </c>
    </row>
    <row r="707" spans="2:51" s="12" customFormat="1" ht="11.25">
      <c r="B707" s="149"/>
      <c r="D707" s="142" t="s">
        <v>193</v>
      </c>
      <c r="E707" s="150" t="s">
        <v>3</v>
      </c>
      <c r="F707" s="151" t="s">
        <v>85</v>
      </c>
      <c r="H707" s="152">
        <v>1</v>
      </c>
      <c r="I707" s="153"/>
      <c r="L707" s="149"/>
      <c r="M707" s="176"/>
      <c r="N707" s="177"/>
      <c r="O707" s="177"/>
      <c r="P707" s="177"/>
      <c r="Q707" s="177"/>
      <c r="R707" s="177"/>
      <c r="S707" s="177"/>
      <c r="T707" s="178"/>
      <c r="AT707" s="150" t="s">
        <v>193</v>
      </c>
      <c r="AU707" s="150" t="s">
        <v>87</v>
      </c>
      <c r="AV707" s="12" t="s">
        <v>87</v>
      </c>
      <c r="AW707" s="12" t="s">
        <v>36</v>
      </c>
      <c r="AX707" s="12" t="s">
        <v>85</v>
      </c>
      <c r="AY707" s="150" t="s">
        <v>177</v>
      </c>
    </row>
    <row r="708" spans="2:12" s="1" customFormat="1" ht="6.95" customHeight="1">
      <c r="B708" s="42"/>
      <c r="C708" s="43"/>
      <c r="D708" s="43"/>
      <c r="E708" s="43"/>
      <c r="F708" s="43"/>
      <c r="G708" s="43"/>
      <c r="H708" s="43"/>
      <c r="I708" s="43"/>
      <c r="J708" s="43"/>
      <c r="K708" s="43"/>
      <c r="L708" s="33"/>
    </row>
  </sheetData>
  <autoFilter ref="C98:K707"/>
  <mergeCells count="9">
    <mergeCell ref="E50:H50"/>
    <mergeCell ref="E89:H89"/>
    <mergeCell ref="E91:H91"/>
    <mergeCell ref="L2:V2"/>
    <mergeCell ref="E7:H7"/>
    <mergeCell ref="E9:H9"/>
    <mergeCell ref="E18:H18"/>
    <mergeCell ref="E27:H27"/>
    <mergeCell ref="E48:H48"/>
  </mergeCells>
  <hyperlinks>
    <hyperlink ref="F104" r:id="rId1" display="https://podminky.urs.cz/item/CS_URS_2022_02/611131101"/>
    <hyperlink ref="F107" r:id="rId2" display="https://podminky.urs.cz/item/CS_URS_2022_02/611142001"/>
    <hyperlink ref="F111" r:id="rId3" display="https://podminky.urs.cz/item/CS_URS_2022_02/611321141"/>
    <hyperlink ref="F116" r:id="rId4" display="https://podminky.urs.cz/item/CS_URS_2022_02/611321191"/>
    <hyperlink ref="F144" r:id="rId5" display="https://podminky.urs.cz/item/CS_URS_2022_02/949101111"/>
    <hyperlink ref="F151" r:id="rId6" display="https://podminky.urs.cz/item/CS_URS_2022_02/952901111"/>
    <hyperlink ref="F155" r:id="rId7" display="https://podminky.urs.cz/item/CS_URS_2022_02/953943211"/>
    <hyperlink ref="F161" r:id="rId8" display="https://podminky.urs.cz/item/CS_URS_2022_02/953943212"/>
    <hyperlink ref="F170" r:id="rId9" display="https://podminky.urs.cz/item/CS_URS_2022_02/998018002"/>
    <hyperlink ref="F176" r:id="rId10" display="https://podminky.urs.cz/item/CS_URS_2022_02/714121013"/>
    <hyperlink ref="F186" r:id="rId11" display="https://podminky.urs.cz/item/CS_URS_2022_02/998714102"/>
    <hyperlink ref="F190" r:id="rId12" display="https://podminky.urs.cz/item/CS_URS_2022_02/998714181"/>
    <hyperlink ref="F195" r:id="rId13" display="https://podminky.urs.cz/item/CS_URS_2022_02/763121551"/>
    <hyperlink ref="F201" r:id="rId14" display="https://podminky.urs.cz/item/CS_URS_2022_02/763121714"/>
    <hyperlink ref="F205" r:id="rId15" display="https://podminky.urs.cz/item/CS_URS_2022_02/763131411"/>
    <hyperlink ref="F210" r:id="rId16" display="https://podminky.urs.cz/item/CS_URS_2022_02/763131451"/>
    <hyperlink ref="F219" r:id="rId17" display="https://podminky.urs.cz/item/CS_URS_2022_02/763131714"/>
    <hyperlink ref="F223" r:id="rId18" display="https://podminky.urs.cz/item/CS_URS_2022_02/763131771"/>
    <hyperlink ref="F227" r:id="rId19" display="https://podminky.urs.cz/item/CS_URS_2022_02/998763302"/>
    <hyperlink ref="F231" r:id="rId20" display="https://podminky.urs.cz/item/CS_URS_2022_02/998763381"/>
    <hyperlink ref="F236" r:id="rId21" display="https://podminky.urs.cz/item/CS_URS_2022_02/766660001"/>
    <hyperlink ref="F242" r:id="rId22" display="https://podminky.urs.cz/item/CS_URS_2022_02/766660002"/>
    <hyperlink ref="F248" r:id="rId23" display="https://podminky.urs.cz/item/CS_URS_2022_02/766660011"/>
    <hyperlink ref="F253" r:id="rId24" display="https://podminky.urs.cz/item/CS_URS_2022_02/766660021"/>
    <hyperlink ref="F259" r:id="rId25" display="https://podminky.urs.cz/item/CS_URS_2022_02/766660022"/>
    <hyperlink ref="F265" r:id="rId26" display="https://podminky.urs.cz/item/CS_URS_2022_02/766660031"/>
    <hyperlink ref="F273" r:id="rId27" display="https://podminky.urs.cz/item/CS_URS_2022_02/766660717"/>
    <hyperlink ref="F279" r:id="rId28" display="https://podminky.urs.cz/item/CS_URS_2022_02/766660728"/>
    <hyperlink ref="F284" r:id="rId29" display="https://podminky.urs.cz/item/CS_URS_2022_02/766660729"/>
    <hyperlink ref="F290" r:id="rId30" display="https://podminky.urs.cz/item/CS_URS_2022_02/766694111"/>
    <hyperlink ref="F294" r:id="rId31" display="https://podminky.urs.cz/item/CS_URS_2022_02/766694113"/>
    <hyperlink ref="F301" r:id="rId32" display="https://podminky.urs.cz/item/CS_URS_2022_02/766694114"/>
    <hyperlink ref="F316" r:id="rId33" display="https://podminky.urs.cz/item/CS_URS_2022_02/998766102"/>
    <hyperlink ref="F320" r:id="rId34" display="https://podminky.urs.cz/item/CS_URS_2022_02/998766181"/>
    <hyperlink ref="F325" r:id="rId35" display="https://podminky.urs.cz/item/CS_URS_2022_02/767220420"/>
    <hyperlink ref="F352" r:id="rId36" display="https://podminky.urs.cz/item/CS_URS_2022_02/767646522"/>
    <hyperlink ref="F359" r:id="rId37" display="https://podminky.urs.cz/item/CS_URS_2022_02/767649191"/>
    <hyperlink ref="F364" r:id="rId38" display="https://podminky.urs.cz/item/CS_URS_2022_02/998767102"/>
    <hyperlink ref="F368" r:id="rId39" display="https://podminky.urs.cz/item/CS_URS_2022_02/998767181"/>
    <hyperlink ref="F373" r:id="rId40" display="https://podminky.urs.cz/item/CS_URS_2022_02/771111011"/>
    <hyperlink ref="F377" r:id="rId41" display="https://podminky.urs.cz/item/CS_URS_2022_02/771121011"/>
    <hyperlink ref="F381" r:id="rId42" display="https://podminky.urs.cz/item/CS_URS_2022_02/771151021"/>
    <hyperlink ref="F385" r:id="rId43" display="https://podminky.urs.cz/item/CS_URS_2022_02/771274123"/>
    <hyperlink ref="F390" r:id="rId44" display="https://podminky.urs.cz/item/CS_URS_2022_02/771274241"/>
    <hyperlink ref="F394" r:id="rId45" display="https://podminky.urs.cz/item/CS_URS_2022_02/771474113"/>
    <hyperlink ref="F418" r:id="rId46" display="https://podminky.urs.cz/item/CS_URS_2022_02/771574240"/>
    <hyperlink ref="F431" r:id="rId47" display="https://podminky.urs.cz/item/CS_URS_2022_02/771591112"/>
    <hyperlink ref="F435" r:id="rId48" display="https://podminky.urs.cz/item/CS_URS_2022_02/771591115"/>
    <hyperlink ref="F439" r:id="rId49" display="https://podminky.urs.cz/item/CS_URS_2022_02/771592011"/>
    <hyperlink ref="F442" r:id="rId50" display="https://podminky.urs.cz/item/CS_URS_2022_02/998771102"/>
    <hyperlink ref="F446" r:id="rId51" display="https://podminky.urs.cz/item/CS_URS_2022_02/998771181"/>
    <hyperlink ref="F451" r:id="rId52" display="https://podminky.urs.cz/item/CS_URS_2022_02/776111111"/>
    <hyperlink ref="F456" r:id="rId53" display="https://podminky.urs.cz/item/CS_URS_2022_02/776111311"/>
    <hyperlink ref="F460" r:id="rId54" display="https://podminky.urs.cz/item/CS_URS_2022_02/776121311"/>
    <hyperlink ref="F464" r:id="rId55" display="https://podminky.urs.cz/item/CS_URS_2022_02/776141121"/>
    <hyperlink ref="F468" r:id="rId56" display="https://podminky.urs.cz/item/CS_URS_2022_02/776251111"/>
    <hyperlink ref="F477" r:id="rId57" display="https://podminky.urs.cz/item/CS_URS_2022_02/776251411"/>
    <hyperlink ref="F485" r:id="rId58" display="https://podminky.urs.cz/item/CS_URS_2022_02/776411111"/>
    <hyperlink ref="F496" r:id="rId59" display="https://podminky.urs.cz/item/CS_URS_2022_02/776991121"/>
    <hyperlink ref="F500" r:id="rId60" display="https://podminky.urs.cz/item/CS_URS_2022_02/998776102"/>
    <hyperlink ref="F504" r:id="rId61" display="https://podminky.urs.cz/item/CS_URS_2022_02/998776181"/>
    <hyperlink ref="F509" r:id="rId62" display="https://podminky.urs.cz/item/CS_URS_2022_02/781111011"/>
    <hyperlink ref="F513" r:id="rId63" display="https://podminky.urs.cz/item/CS_URS_2022_02/781121011"/>
    <hyperlink ref="F517" r:id="rId64" display="https://podminky.urs.cz/item/CS_URS_2022_02/781474112"/>
    <hyperlink ref="F533" r:id="rId65" display="https://podminky.urs.cz/item/CS_URS_2022_02/781477111"/>
    <hyperlink ref="F537" r:id="rId66" display="https://podminky.urs.cz/item/CS_URS_2022_02/781477112"/>
    <hyperlink ref="F541" r:id="rId67" display="https://podminky.urs.cz/item/CS_URS_2022_02/781477114"/>
    <hyperlink ref="F545" r:id="rId68" display="https://podminky.urs.cz/item/CS_URS_2022_02/781494111"/>
    <hyperlink ref="F554" r:id="rId69" display="https://podminky.urs.cz/item/CS_URS_2022_02/781494511"/>
    <hyperlink ref="F567" r:id="rId70" display="https://podminky.urs.cz/item/CS_URS_2022_02/781495141"/>
    <hyperlink ref="F574" r:id="rId71" display="https://podminky.urs.cz/item/CS_URS_2022_02/781495142"/>
    <hyperlink ref="F578" r:id="rId72" display="https://podminky.urs.cz/item/CS_URS_2022_02/781495143"/>
    <hyperlink ref="F582" r:id="rId73" display="https://podminky.urs.cz/item/CS_URS_2022_02/781495211"/>
    <hyperlink ref="F585" r:id="rId74" display="https://podminky.urs.cz/item/CS_URS_2022_02/998781102"/>
    <hyperlink ref="F589" r:id="rId75" display="https://podminky.urs.cz/item/CS_URS_2022_02/998781181"/>
    <hyperlink ref="F594" r:id="rId76" display="https://podminky.urs.cz/item/CS_URS_2022_02/783301311"/>
    <hyperlink ref="F597" r:id="rId77" display="https://podminky.urs.cz/item/CS_URS_2022_02/783301401"/>
    <hyperlink ref="F600" r:id="rId78" display="https://podminky.urs.cz/item/CS_URS_2022_02/783314203"/>
    <hyperlink ref="F603" r:id="rId79" display="https://podminky.urs.cz/item/CS_URS_2022_02/783315103"/>
    <hyperlink ref="F606" r:id="rId80" display="https://podminky.urs.cz/item/CS_URS_2022_02/783347101"/>
    <hyperlink ref="F625" r:id="rId81" display="https://podminky.urs.cz/item/CS_URS_2022_02/784111003"/>
    <hyperlink ref="F628" r:id="rId82" display="https://podminky.urs.cz/item/CS_URS_2022_02/784181123"/>
    <hyperlink ref="F634" r:id="rId83" display="https://podminky.urs.cz/item/CS_URS_2022_02/784191003"/>
    <hyperlink ref="F641" r:id="rId84" display="https://podminky.urs.cz/item/CS_URS_2022_02/784191005"/>
    <hyperlink ref="F649" r:id="rId85" display="https://podminky.urs.cz/item/CS_URS_2022_02/784191007"/>
    <hyperlink ref="F652" r:id="rId86" display="https://podminky.urs.cz/item/CS_URS_2022_02/784211103"/>
    <hyperlink ref="F657" r:id="rId87" display="https://podminky.urs.cz/item/CS_URS_2022_02/784211113"/>
    <hyperlink ref="F669" r:id="rId88" display="https://podminky.urs.cz/item/CS_URS_2022_02/784211161"/>
    <hyperlink ref="F673" r:id="rId89" display="https://podminky.urs.cz/item/CS_URS_2022_02/786624111"/>
    <hyperlink ref="F685" r:id="rId90" display="https://podminky.urs.cz/item/CS_URS_2022_02/998786102"/>
    <hyperlink ref="F689" r:id="rId91" display="https://podminky.urs.cz/item/CS_URS_2022_02/998786181"/>
    <hyperlink ref="F698" r:id="rId92" display="https://podminky.urs.cz/item/CS_URS_2022_02/HZS1292"/>
    <hyperlink ref="F705" r:id="rId93" display="https://podminky.urs.cz/item/CS_URS_2022_02/0114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6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129</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30" customHeight="1">
      <c r="B9" s="33"/>
      <c r="E9" s="281" t="s">
        <v>3735</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ROUND(J84,2)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ROUND((SUM(BE84:BE163)),2)</f>
        <v>0</v>
      </c>
      <c r="I33" s="90">
        <v>0.21</v>
      </c>
      <c r="J33" s="89">
        <f>ROUND(((SUM(BE84:BE163))*I33),2)</f>
        <v>0</v>
      </c>
      <c r="L33" s="33"/>
    </row>
    <row r="34" spans="2:12" s="1" customFormat="1" ht="14.45" customHeight="1">
      <c r="B34" s="33"/>
      <c r="E34" s="28" t="s">
        <v>49</v>
      </c>
      <c r="F34" s="89">
        <f>ROUND((SUM(BF84:BF163)),2)</f>
        <v>0</v>
      </c>
      <c r="I34" s="90">
        <v>0.15</v>
      </c>
      <c r="J34" s="89">
        <f>ROUND(((SUM(BF84:BF163))*I34),2)</f>
        <v>0</v>
      </c>
      <c r="L34" s="33"/>
    </row>
    <row r="35" spans="2:12" s="1" customFormat="1" ht="14.45" customHeight="1" hidden="1">
      <c r="B35" s="33"/>
      <c r="E35" s="28" t="s">
        <v>50</v>
      </c>
      <c r="F35" s="89">
        <f>ROUND((SUM(BG84:BG163)),2)</f>
        <v>0</v>
      </c>
      <c r="I35" s="90">
        <v>0.21</v>
      </c>
      <c r="J35" s="89">
        <f>0</f>
        <v>0</v>
      </c>
      <c r="L35" s="33"/>
    </row>
    <row r="36" spans="2:12" s="1" customFormat="1" ht="14.45" customHeight="1" hidden="1">
      <c r="B36" s="33"/>
      <c r="E36" s="28" t="s">
        <v>51</v>
      </c>
      <c r="F36" s="89">
        <f>ROUND((SUM(BH84:BH163)),2)</f>
        <v>0</v>
      </c>
      <c r="I36" s="90">
        <v>0.15</v>
      </c>
      <c r="J36" s="89">
        <f>0</f>
        <v>0</v>
      </c>
      <c r="L36" s="33"/>
    </row>
    <row r="37" spans="2:12" s="1" customFormat="1" ht="14.45" customHeight="1" hidden="1">
      <c r="B37" s="33"/>
      <c r="E37" s="28" t="s">
        <v>52</v>
      </c>
      <c r="F37" s="89">
        <f>ROUND((SUM(BI84:BI163)),2)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30" customHeight="1">
      <c r="B50" s="33"/>
      <c r="E50" s="281" t="str">
        <f>E9</f>
        <v>E15 - Vyrovnání terénu po odstraněném bazénu, okapové chodníčky, ozelenění</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J84</f>
        <v>0</v>
      </c>
      <c r="L59" s="33"/>
      <c r="AU59" s="18" t="s">
        <v>152</v>
      </c>
    </row>
    <row r="60" spans="2:12" s="8" customFormat="1" ht="24.95" customHeight="1">
      <c r="B60" s="100"/>
      <c r="D60" s="101" t="s">
        <v>153</v>
      </c>
      <c r="E60" s="102"/>
      <c r="F60" s="102"/>
      <c r="G60" s="102"/>
      <c r="H60" s="102"/>
      <c r="I60" s="102"/>
      <c r="J60" s="103">
        <f>J85</f>
        <v>0</v>
      </c>
      <c r="L60" s="100"/>
    </row>
    <row r="61" spans="2:12" s="9" customFormat="1" ht="19.9" customHeight="1">
      <c r="B61" s="104"/>
      <c r="D61" s="105" t="s">
        <v>2302</v>
      </c>
      <c r="E61" s="106"/>
      <c r="F61" s="106"/>
      <c r="G61" s="106"/>
      <c r="H61" s="106"/>
      <c r="I61" s="106"/>
      <c r="J61" s="107">
        <f>J86</f>
        <v>0</v>
      </c>
      <c r="L61" s="104"/>
    </row>
    <row r="62" spans="2:12" s="9" customFormat="1" ht="19.9" customHeight="1">
      <c r="B62" s="104"/>
      <c r="D62" s="105" t="s">
        <v>3736</v>
      </c>
      <c r="E62" s="106"/>
      <c r="F62" s="106"/>
      <c r="G62" s="106"/>
      <c r="H62" s="106"/>
      <c r="I62" s="106"/>
      <c r="J62" s="107">
        <f>J136</f>
        <v>0</v>
      </c>
      <c r="L62" s="104"/>
    </row>
    <row r="63" spans="2:12" s="9" customFormat="1" ht="19.9" customHeight="1">
      <c r="B63" s="104"/>
      <c r="D63" s="105" t="s">
        <v>546</v>
      </c>
      <c r="E63" s="106"/>
      <c r="F63" s="106"/>
      <c r="G63" s="106"/>
      <c r="H63" s="106"/>
      <c r="I63" s="106"/>
      <c r="J63" s="107">
        <f>J147</f>
        <v>0</v>
      </c>
      <c r="L63" s="104"/>
    </row>
    <row r="64" spans="2:12" s="9" customFormat="1" ht="19.9" customHeight="1">
      <c r="B64" s="104"/>
      <c r="D64" s="105" t="s">
        <v>326</v>
      </c>
      <c r="E64" s="106"/>
      <c r="F64" s="106"/>
      <c r="G64" s="106"/>
      <c r="H64" s="106"/>
      <c r="I64" s="106"/>
      <c r="J64" s="107">
        <f>J159</f>
        <v>0</v>
      </c>
      <c r="L64" s="104"/>
    </row>
    <row r="65" spans="2:12" s="1" customFormat="1" ht="21.75" customHeight="1">
      <c r="B65" s="33"/>
      <c r="L65" s="33"/>
    </row>
    <row r="66" spans="2:12" s="1" customFormat="1" ht="6.95" customHeight="1">
      <c r="B66" s="42"/>
      <c r="C66" s="43"/>
      <c r="D66" s="43"/>
      <c r="E66" s="43"/>
      <c r="F66" s="43"/>
      <c r="G66" s="43"/>
      <c r="H66" s="43"/>
      <c r="I66" s="43"/>
      <c r="J66" s="43"/>
      <c r="K66" s="43"/>
      <c r="L66" s="33"/>
    </row>
    <row r="70" spans="2:12" s="1" customFormat="1" ht="6.95" customHeight="1">
      <c r="B70" s="44"/>
      <c r="C70" s="45"/>
      <c r="D70" s="45"/>
      <c r="E70" s="45"/>
      <c r="F70" s="45"/>
      <c r="G70" s="45"/>
      <c r="H70" s="45"/>
      <c r="I70" s="45"/>
      <c r="J70" s="45"/>
      <c r="K70" s="45"/>
      <c r="L70" s="33"/>
    </row>
    <row r="71" spans="2:12" s="1" customFormat="1" ht="24.95" customHeight="1">
      <c r="B71" s="33"/>
      <c r="C71" s="22" t="s">
        <v>162</v>
      </c>
      <c r="L71" s="33"/>
    </row>
    <row r="72" spans="2:12" s="1" customFormat="1" ht="6.95" customHeight="1">
      <c r="B72" s="33"/>
      <c r="L72" s="33"/>
    </row>
    <row r="73" spans="2:12" s="1" customFormat="1" ht="12" customHeight="1">
      <c r="B73" s="33"/>
      <c r="C73" s="28" t="s">
        <v>17</v>
      </c>
      <c r="L73" s="33"/>
    </row>
    <row r="74" spans="2:12" s="1" customFormat="1" ht="16.5" customHeight="1">
      <c r="B74" s="33"/>
      <c r="E74" s="315" t="str">
        <f>E7</f>
        <v>ZŠ P. HOLÉHO - PŘESTAVBA PLAVECKÉHO PAVILONU</v>
      </c>
      <c r="F74" s="316"/>
      <c r="G74" s="316"/>
      <c r="H74" s="316"/>
      <c r="L74" s="33"/>
    </row>
    <row r="75" spans="2:12" s="1" customFormat="1" ht="12" customHeight="1">
      <c r="B75" s="33"/>
      <c r="C75" s="28" t="s">
        <v>146</v>
      </c>
      <c r="L75" s="33"/>
    </row>
    <row r="76" spans="2:12" s="1" customFormat="1" ht="30" customHeight="1">
      <c r="B76" s="33"/>
      <c r="E76" s="281" t="str">
        <f>E9</f>
        <v>E15 - Vyrovnání terénu po odstraněném bazénu, okapové chodníčky, ozelenění</v>
      </c>
      <c r="F76" s="317"/>
      <c r="G76" s="317"/>
      <c r="H76" s="317"/>
      <c r="L76" s="33"/>
    </row>
    <row r="77" spans="2:12" s="1" customFormat="1" ht="6.95" customHeight="1">
      <c r="B77" s="33"/>
      <c r="L77" s="33"/>
    </row>
    <row r="78" spans="2:12" s="1" customFormat="1" ht="12" customHeight="1">
      <c r="B78" s="33"/>
      <c r="C78" s="28" t="s">
        <v>21</v>
      </c>
      <c r="F78" s="26" t="str">
        <f>F12</f>
        <v>Prokopa Holého 2632, Louny, 440 01</v>
      </c>
      <c r="I78" s="28" t="s">
        <v>23</v>
      </c>
      <c r="J78" s="50" t="str">
        <f>IF(J12="","",J12)</f>
        <v>21. 9. 2022</v>
      </c>
      <c r="L78" s="33"/>
    </row>
    <row r="79" spans="2:12" s="1" customFormat="1" ht="6.95" customHeight="1">
      <c r="B79" s="33"/>
      <c r="L79" s="33"/>
    </row>
    <row r="80" spans="2:12" s="1" customFormat="1" ht="15.2" customHeight="1">
      <c r="B80" s="33"/>
      <c r="C80" s="28" t="s">
        <v>25</v>
      </c>
      <c r="F80" s="26" t="str">
        <f>E15</f>
        <v>Město Louny</v>
      </c>
      <c r="I80" s="28" t="s">
        <v>32</v>
      </c>
      <c r="J80" s="31" t="str">
        <f>E21</f>
        <v>RYSIK Design s.r.o.</v>
      </c>
      <c r="L80" s="33"/>
    </row>
    <row r="81" spans="2:12" s="1" customFormat="1" ht="25.7" customHeight="1">
      <c r="B81" s="33"/>
      <c r="C81" s="28" t="s">
        <v>30</v>
      </c>
      <c r="F81" s="26" t="str">
        <f>IF(E18="","",E18)</f>
        <v>Vyplň údaj</v>
      </c>
      <c r="I81" s="28" t="s">
        <v>37</v>
      </c>
      <c r="J81" s="31" t="str">
        <f>E24</f>
        <v>ing. Kateřina Tumpachová</v>
      </c>
      <c r="L81" s="33"/>
    </row>
    <row r="82" spans="2:12" s="1" customFormat="1" ht="10.35" customHeight="1">
      <c r="B82" s="33"/>
      <c r="L82" s="33"/>
    </row>
    <row r="83" spans="2:20" s="10" customFormat="1" ht="29.25" customHeight="1">
      <c r="B83" s="108"/>
      <c r="C83" s="109" t="s">
        <v>163</v>
      </c>
      <c r="D83" s="110" t="s">
        <v>62</v>
      </c>
      <c r="E83" s="110" t="s">
        <v>58</v>
      </c>
      <c r="F83" s="110" t="s">
        <v>59</v>
      </c>
      <c r="G83" s="110" t="s">
        <v>164</v>
      </c>
      <c r="H83" s="110" t="s">
        <v>165</v>
      </c>
      <c r="I83" s="110" t="s">
        <v>166</v>
      </c>
      <c r="J83" s="110" t="s">
        <v>151</v>
      </c>
      <c r="K83" s="111" t="s">
        <v>167</v>
      </c>
      <c r="L83" s="108"/>
      <c r="M83" s="57" t="s">
        <v>3</v>
      </c>
      <c r="N83" s="58" t="s">
        <v>47</v>
      </c>
      <c r="O83" s="58" t="s">
        <v>168</v>
      </c>
      <c r="P83" s="58" t="s">
        <v>169</v>
      </c>
      <c r="Q83" s="58" t="s">
        <v>170</v>
      </c>
      <c r="R83" s="58" t="s">
        <v>171</v>
      </c>
      <c r="S83" s="58" t="s">
        <v>172</v>
      </c>
      <c r="T83" s="59" t="s">
        <v>173</v>
      </c>
    </row>
    <row r="84" spans="2:63" s="1" customFormat="1" ht="22.9" customHeight="1">
      <c r="B84" s="33"/>
      <c r="C84" s="62" t="s">
        <v>174</v>
      </c>
      <c r="J84" s="112">
        <f>BK84</f>
        <v>0</v>
      </c>
      <c r="L84" s="33"/>
      <c r="M84" s="60"/>
      <c r="N84" s="51"/>
      <c r="O84" s="51"/>
      <c r="P84" s="113">
        <f>P85</f>
        <v>0</v>
      </c>
      <c r="Q84" s="51"/>
      <c r="R84" s="113">
        <f>R85</f>
        <v>293.3942064</v>
      </c>
      <c r="S84" s="51"/>
      <c r="T84" s="114">
        <f>T85</f>
        <v>0</v>
      </c>
      <c r="AT84" s="18" t="s">
        <v>76</v>
      </c>
      <c r="AU84" s="18" t="s">
        <v>152</v>
      </c>
      <c r="BK84" s="115">
        <f>BK85</f>
        <v>0</v>
      </c>
    </row>
    <row r="85" spans="2:63" s="11" customFormat="1" ht="25.9" customHeight="1">
      <c r="B85" s="116"/>
      <c r="D85" s="117" t="s">
        <v>76</v>
      </c>
      <c r="E85" s="118" t="s">
        <v>175</v>
      </c>
      <c r="F85" s="118" t="s">
        <v>176</v>
      </c>
      <c r="I85" s="119"/>
      <c r="J85" s="120">
        <f>BK85</f>
        <v>0</v>
      </c>
      <c r="L85" s="116"/>
      <c r="M85" s="121"/>
      <c r="P85" s="122">
        <f>P86+P136+P147+P159</f>
        <v>0</v>
      </c>
      <c r="R85" s="122">
        <f>R86+R136+R147+R159</f>
        <v>293.3942064</v>
      </c>
      <c r="T85" s="123">
        <f>T86+T136+T147+T159</f>
        <v>0</v>
      </c>
      <c r="AR85" s="117" t="s">
        <v>85</v>
      </c>
      <c r="AT85" s="124" t="s">
        <v>76</v>
      </c>
      <c r="AU85" s="124" t="s">
        <v>77</v>
      </c>
      <c r="AY85" s="117" t="s">
        <v>177</v>
      </c>
      <c r="BK85" s="125">
        <f>BK86+BK136+BK147+BK159</f>
        <v>0</v>
      </c>
    </row>
    <row r="86" spans="2:63" s="11" customFormat="1" ht="22.9" customHeight="1">
      <c r="B86" s="116"/>
      <c r="D86" s="117" t="s">
        <v>76</v>
      </c>
      <c r="E86" s="126" t="s">
        <v>85</v>
      </c>
      <c r="F86" s="126" t="s">
        <v>2304</v>
      </c>
      <c r="I86" s="119"/>
      <c r="J86" s="127">
        <f>BK86</f>
        <v>0</v>
      </c>
      <c r="L86" s="116"/>
      <c r="M86" s="121"/>
      <c r="P86" s="122">
        <f>SUM(P87:P135)</f>
        <v>0</v>
      </c>
      <c r="R86" s="122">
        <f>SUM(R87:R135)</f>
        <v>45.568575</v>
      </c>
      <c r="T86" s="123">
        <f>SUM(T87:T135)</f>
        <v>0</v>
      </c>
      <c r="AR86" s="117" t="s">
        <v>85</v>
      </c>
      <c r="AT86" s="124" t="s">
        <v>76</v>
      </c>
      <c r="AU86" s="124" t="s">
        <v>85</v>
      </c>
      <c r="AY86" s="117" t="s">
        <v>177</v>
      </c>
      <c r="BK86" s="125">
        <f>SUM(BK87:BK135)</f>
        <v>0</v>
      </c>
    </row>
    <row r="87" spans="2:65" s="1" customFormat="1" ht="37.9" customHeight="1">
      <c r="B87" s="128"/>
      <c r="C87" s="129" t="s">
        <v>85</v>
      </c>
      <c r="D87" s="129" t="s">
        <v>180</v>
      </c>
      <c r="E87" s="130" t="s">
        <v>3737</v>
      </c>
      <c r="F87" s="131" t="s">
        <v>3738</v>
      </c>
      <c r="G87" s="132" t="s">
        <v>806</v>
      </c>
      <c r="H87" s="133">
        <v>486</v>
      </c>
      <c r="I87" s="134"/>
      <c r="J87" s="135">
        <f>ROUND(I87*H87,2)</f>
        <v>0</v>
      </c>
      <c r="K87" s="131" t="s">
        <v>184</v>
      </c>
      <c r="L87" s="33"/>
      <c r="M87" s="136" t="s">
        <v>3</v>
      </c>
      <c r="N87" s="137" t="s">
        <v>48</v>
      </c>
      <c r="P87" s="138">
        <f>O87*H87</f>
        <v>0</v>
      </c>
      <c r="Q87" s="138">
        <v>0</v>
      </c>
      <c r="R87" s="138">
        <f>Q87*H87</f>
        <v>0</v>
      </c>
      <c r="S87" s="138">
        <v>0</v>
      </c>
      <c r="T87" s="139">
        <f>S87*H87</f>
        <v>0</v>
      </c>
      <c r="AR87" s="140" t="s">
        <v>185</v>
      </c>
      <c r="AT87" s="140" t="s">
        <v>180</v>
      </c>
      <c r="AU87" s="140" t="s">
        <v>87</v>
      </c>
      <c r="AY87" s="18" t="s">
        <v>177</v>
      </c>
      <c r="BE87" s="141">
        <f>IF(N87="základní",J87,0)</f>
        <v>0</v>
      </c>
      <c r="BF87" s="141">
        <f>IF(N87="snížená",J87,0)</f>
        <v>0</v>
      </c>
      <c r="BG87" s="141">
        <f>IF(N87="zákl. přenesená",J87,0)</f>
        <v>0</v>
      </c>
      <c r="BH87" s="141">
        <f>IF(N87="sníž. přenesená",J87,0)</f>
        <v>0</v>
      </c>
      <c r="BI87" s="141">
        <f>IF(N87="nulová",J87,0)</f>
        <v>0</v>
      </c>
      <c r="BJ87" s="18" t="s">
        <v>85</v>
      </c>
      <c r="BK87" s="141">
        <f>ROUND(I87*H87,2)</f>
        <v>0</v>
      </c>
      <c r="BL87" s="18" t="s">
        <v>185</v>
      </c>
      <c r="BM87" s="140" t="s">
        <v>3739</v>
      </c>
    </row>
    <row r="88" spans="2:47" s="1" customFormat="1" ht="39">
      <c r="B88" s="33"/>
      <c r="D88" s="142" t="s">
        <v>187</v>
      </c>
      <c r="F88" s="143" t="s">
        <v>3740</v>
      </c>
      <c r="I88" s="144"/>
      <c r="L88" s="33"/>
      <c r="M88" s="145"/>
      <c r="T88" s="54"/>
      <c r="AT88" s="18" t="s">
        <v>187</v>
      </c>
      <c r="AU88" s="18" t="s">
        <v>87</v>
      </c>
    </row>
    <row r="89" spans="2:47" s="1" customFormat="1" ht="11.25">
      <c r="B89" s="33"/>
      <c r="D89" s="146" t="s">
        <v>189</v>
      </c>
      <c r="F89" s="147" t="s">
        <v>3741</v>
      </c>
      <c r="I89" s="144"/>
      <c r="L89" s="33"/>
      <c r="M89" s="145"/>
      <c r="T89" s="54"/>
      <c r="AT89" s="18" t="s">
        <v>189</v>
      </c>
      <c r="AU89" s="18" t="s">
        <v>87</v>
      </c>
    </row>
    <row r="90" spans="2:47" s="1" customFormat="1" ht="78">
      <c r="B90" s="33"/>
      <c r="D90" s="142" t="s">
        <v>191</v>
      </c>
      <c r="F90" s="148" t="s">
        <v>2332</v>
      </c>
      <c r="I90" s="144"/>
      <c r="L90" s="33"/>
      <c r="M90" s="145"/>
      <c r="T90" s="54"/>
      <c r="AT90" s="18" t="s">
        <v>191</v>
      </c>
      <c r="AU90" s="18" t="s">
        <v>87</v>
      </c>
    </row>
    <row r="91" spans="2:65" s="1" customFormat="1" ht="37.9" customHeight="1">
      <c r="B91" s="128"/>
      <c r="C91" s="129" t="s">
        <v>87</v>
      </c>
      <c r="D91" s="129" t="s">
        <v>180</v>
      </c>
      <c r="E91" s="130" t="s">
        <v>2327</v>
      </c>
      <c r="F91" s="131" t="s">
        <v>2328</v>
      </c>
      <c r="G91" s="132" t="s">
        <v>806</v>
      </c>
      <c r="H91" s="133">
        <v>60.75</v>
      </c>
      <c r="I91" s="134"/>
      <c r="J91" s="135">
        <f>ROUND(I91*H91,2)</f>
        <v>0</v>
      </c>
      <c r="K91" s="131" t="s">
        <v>184</v>
      </c>
      <c r="L91" s="33"/>
      <c r="M91" s="136" t="s">
        <v>3</v>
      </c>
      <c r="N91" s="137" t="s">
        <v>48</v>
      </c>
      <c r="P91" s="138">
        <f>O91*H91</f>
        <v>0</v>
      </c>
      <c r="Q91" s="138">
        <v>0</v>
      </c>
      <c r="R91" s="138">
        <f>Q91*H91</f>
        <v>0</v>
      </c>
      <c r="S91" s="138">
        <v>0</v>
      </c>
      <c r="T91" s="139">
        <f>S91*H91</f>
        <v>0</v>
      </c>
      <c r="AR91" s="140" t="s">
        <v>185</v>
      </c>
      <c r="AT91" s="140" t="s">
        <v>180</v>
      </c>
      <c r="AU91" s="140" t="s">
        <v>87</v>
      </c>
      <c r="AY91" s="18" t="s">
        <v>177</v>
      </c>
      <c r="BE91" s="141">
        <f>IF(N91="základní",J91,0)</f>
        <v>0</v>
      </c>
      <c r="BF91" s="141">
        <f>IF(N91="snížená",J91,0)</f>
        <v>0</v>
      </c>
      <c r="BG91" s="141">
        <f>IF(N91="zákl. přenesená",J91,0)</f>
        <v>0</v>
      </c>
      <c r="BH91" s="141">
        <f>IF(N91="sníž. přenesená",J91,0)</f>
        <v>0</v>
      </c>
      <c r="BI91" s="141">
        <f>IF(N91="nulová",J91,0)</f>
        <v>0</v>
      </c>
      <c r="BJ91" s="18" t="s">
        <v>85</v>
      </c>
      <c r="BK91" s="141">
        <f>ROUND(I91*H91,2)</f>
        <v>0</v>
      </c>
      <c r="BL91" s="18" t="s">
        <v>185</v>
      </c>
      <c r="BM91" s="140" t="s">
        <v>3742</v>
      </c>
    </row>
    <row r="92" spans="2:47" s="1" customFormat="1" ht="39">
      <c r="B92" s="33"/>
      <c r="D92" s="142" t="s">
        <v>187</v>
      </c>
      <c r="F92" s="143" t="s">
        <v>2330</v>
      </c>
      <c r="I92" s="144"/>
      <c r="L92" s="33"/>
      <c r="M92" s="145"/>
      <c r="T92" s="54"/>
      <c r="AT92" s="18" t="s">
        <v>187</v>
      </c>
      <c r="AU92" s="18" t="s">
        <v>87</v>
      </c>
    </row>
    <row r="93" spans="2:47" s="1" customFormat="1" ht="11.25">
      <c r="B93" s="33"/>
      <c r="D93" s="146" t="s">
        <v>189</v>
      </c>
      <c r="F93" s="147" t="s">
        <v>2331</v>
      </c>
      <c r="I93" s="144"/>
      <c r="L93" s="33"/>
      <c r="M93" s="145"/>
      <c r="T93" s="54"/>
      <c r="AT93" s="18" t="s">
        <v>189</v>
      </c>
      <c r="AU93" s="18" t="s">
        <v>87</v>
      </c>
    </row>
    <row r="94" spans="2:47" s="1" customFormat="1" ht="78">
      <c r="B94" s="33"/>
      <c r="D94" s="142" t="s">
        <v>191</v>
      </c>
      <c r="F94" s="148" t="s">
        <v>2332</v>
      </c>
      <c r="I94" s="144"/>
      <c r="L94" s="33"/>
      <c r="M94" s="145"/>
      <c r="T94" s="54"/>
      <c r="AT94" s="18" t="s">
        <v>191</v>
      </c>
      <c r="AU94" s="18" t="s">
        <v>87</v>
      </c>
    </row>
    <row r="95" spans="2:65" s="1" customFormat="1" ht="37.9" customHeight="1">
      <c r="B95" s="128"/>
      <c r="C95" s="129" t="s">
        <v>198</v>
      </c>
      <c r="D95" s="129" t="s">
        <v>180</v>
      </c>
      <c r="E95" s="130" t="s">
        <v>2333</v>
      </c>
      <c r="F95" s="131" t="s">
        <v>2334</v>
      </c>
      <c r="G95" s="132" t="s">
        <v>806</v>
      </c>
      <c r="H95" s="133">
        <v>607.5</v>
      </c>
      <c r="I95" s="134"/>
      <c r="J95" s="135">
        <f>ROUND(I95*H95,2)</f>
        <v>0</v>
      </c>
      <c r="K95" s="131" t="s">
        <v>184</v>
      </c>
      <c r="L95" s="33"/>
      <c r="M95" s="136" t="s">
        <v>3</v>
      </c>
      <c r="N95" s="137" t="s">
        <v>48</v>
      </c>
      <c r="P95" s="138">
        <f>O95*H95</f>
        <v>0</v>
      </c>
      <c r="Q95" s="138">
        <v>0</v>
      </c>
      <c r="R95" s="138">
        <f>Q95*H95</f>
        <v>0</v>
      </c>
      <c r="S95" s="138">
        <v>0</v>
      </c>
      <c r="T95" s="139">
        <f>S95*H95</f>
        <v>0</v>
      </c>
      <c r="AR95" s="140" t="s">
        <v>185</v>
      </c>
      <c r="AT95" s="140" t="s">
        <v>180</v>
      </c>
      <c r="AU95" s="140" t="s">
        <v>87</v>
      </c>
      <c r="AY95" s="18" t="s">
        <v>177</v>
      </c>
      <c r="BE95" s="141">
        <f>IF(N95="základní",J95,0)</f>
        <v>0</v>
      </c>
      <c r="BF95" s="141">
        <f>IF(N95="snížená",J95,0)</f>
        <v>0</v>
      </c>
      <c r="BG95" s="141">
        <f>IF(N95="zákl. přenesená",J95,0)</f>
        <v>0</v>
      </c>
      <c r="BH95" s="141">
        <f>IF(N95="sníž. přenesená",J95,0)</f>
        <v>0</v>
      </c>
      <c r="BI95" s="141">
        <f>IF(N95="nulová",J95,0)</f>
        <v>0</v>
      </c>
      <c r="BJ95" s="18" t="s">
        <v>85</v>
      </c>
      <c r="BK95" s="141">
        <f>ROUND(I95*H95,2)</f>
        <v>0</v>
      </c>
      <c r="BL95" s="18" t="s">
        <v>185</v>
      </c>
      <c r="BM95" s="140" t="s">
        <v>3743</v>
      </c>
    </row>
    <row r="96" spans="2:47" s="1" customFormat="1" ht="48.75">
      <c r="B96" s="33"/>
      <c r="D96" s="142" t="s">
        <v>187</v>
      </c>
      <c r="F96" s="143" t="s">
        <v>2336</v>
      </c>
      <c r="I96" s="144"/>
      <c r="L96" s="33"/>
      <c r="M96" s="145"/>
      <c r="T96" s="54"/>
      <c r="AT96" s="18" t="s">
        <v>187</v>
      </c>
      <c r="AU96" s="18" t="s">
        <v>87</v>
      </c>
    </row>
    <row r="97" spans="2:47" s="1" customFormat="1" ht="11.25">
      <c r="B97" s="33"/>
      <c r="D97" s="146" t="s">
        <v>189</v>
      </c>
      <c r="F97" s="147" t="s">
        <v>2337</v>
      </c>
      <c r="I97" s="144"/>
      <c r="L97" s="33"/>
      <c r="M97" s="145"/>
      <c r="T97" s="54"/>
      <c r="AT97" s="18" t="s">
        <v>189</v>
      </c>
      <c r="AU97" s="18" t="s">
        <v>87</v>
      </c>
    </row>
    <row r="98" spans="2:47" s="1" customFormat="1" ht="78">
      <c r="B98" s="33"/>
      <c r="D98" s="142" t="s">
        <v>191</v>
      </c>
      <c r="F98" s="148" t="s">
        <v>2332</v>
      </c>
      <c r="I98" s="144"/>
      <c r="L98" s="33"/>
      <c r="M98" s="145"/>
      <c r="T98" s="54"/>
      <c r="AT98" s="18" t="s">
        <v>191</v>
      </c>
      <c r="AU98" s="18" t="s">
        <v>87</v>
      </c>
    </row>
    <row r="99" spans="2:51" s="12" customFormat="1" ht="11.25">
      <c r="B99" s="149"/>
      <c r="D99" s="142" t="s">
        <v>193</v>
      </c>
      <c r="F99" s="151" t="s">
        <v>3744</v>
      </c>
      <c r="H99" s="152">
        <v>607.5</v>
      </c>
      <c r="I99" s="153"/>
      <c r="L99" s="149"/>
      <c r="M99" s="154"/>
      <c r="T99" s="155"/>
      <c r="AT99" s="150" t="s">
        <v>193</v>
      </c>
      <c r="AU99" s="150" t="s">
        <v>87</v>
      </c>
      <c r="AV99" s="12" t="s">
        <v>87</v>
      </c>
      <c r="AW99" s="12" t="s">
        <v>4</v>
      </c>
      <c r="AX99" s="12" t="s">
        <v>85</v>
      </c>
      <c r="AY99" s="150" t="s">
        <v>177</v>
      </c>
    </row>
    <row r="100" spans="2:65" s="1" customFormat="1" ht="24.2" customHeight="1">
      <c r="B100" s="128"/>
      <c r="C100" s="129" t="s">
        <v>185</v>
      </c>
      <c r="D100" s="129" t="s">
        <v>180</v>
      </c>
      <c r="E100" s="130" t="s">
        <v>3745</v>
      </c>
      <c r="F100" s="131" t="s">
        <v>3746</v>
      </c>
      <c r="G100" s="132" t="s">
        <v>806</v>
      </c>
      <c r="H100" s="133">
        <v>60.75</v>
      </c>
      <c r="I100" s="134"/>
      <c r="J100" s="135">
        <f>ROUND(I100*H100,2)</f>
        <v>0</v>
      </c>
      <c r="K100" s="131" t="s">
        <v>184</v>
      </c>
      <c r="L100" s="33"/>
      <c r="M100" s="136" t="s">
        <v>3</v>
      </c>
      <c r="N100" s="137" t="s">
        <v>48</v>
      </c>
      <c r="P100" s="138">
        <f>O100*H100</f>
        <v>0</v>
      </c>
      <c r="Q100" s="138">
        <v>0</v>
      </c>
      <c r="R100" s="138">
        <f>Q100*H100</f>
        <v>0</v>
      </c>
      <c r="S100" s="138">
        <v>0</v>
      </c>
      <c r="T100" s="139">
        <f>S100*H100</f>
        <v>0</v>
      </c>
      <c r="AR100" s="140" t="s">
        <v>185</v>
      </c>
      <c r="AT100" s="140" t="s">
        <v>180</v>
      </c>
      <c r="AU100" s="140" t="s">
        <v>87</v>
      </c>
      <c r="AY100" s="18" t="s">
        <v>177</v>
      </c>
      <c r="BE100" s="141">
        <f>IF(N100="základní",J100,0)</f>
        <v>0</v>
      </c>
      <c r="BF100" s="141">
        <f>IF(N100="snížená",J100,0)</f>
        <v>0</v>
      </c>
      <c r="BG100" s="141">
        <f>IF(N100="zákl. přenesená",J100,0)</f>
        <v>0</v>
      </c>
      <c r="BH100" s="141">
        <f>IF(N100="sníž. přenesená",J100,0)</f>
        <v>0</v>
      </c>
      <c r="BI100" s="141">
        <f>IF(N100="nulová",J100,0)</f>
        <v>0</v>
      </c>
      <c r="BJ100" s="18" t="s">
        <v>85</v>
      </c>
      <c r="BK100" s="141">
        <f>ROUND(I100*H100,2)</f>
        <v>0</v>
      </c>
      <c r="BL100" s="18" t="s">
        <v>185</v>
      </c>
      <c r="BM100" s="140" t="s">
        <v>3747</v>
      </c>
    </row>
    <row r="101" spans="2:47" s="1" customFormat="1" ht="29.25">
      <c r="B101" s="33"/>
      <c r="D101" s="142" t="s">
        <v>187</v>
      </c>
      <c r="F101" s="143" t="s">
        <v>3748</v>
      </c>
      <c r="I101" s="144"/>
      <c r="L101" s="33"/>
      <c r="M101" s="145"/>
      <c r="T101" s="54"/>
      <c r="AT101" s="18" t="s">
        <v>187</v>
      </c>
      <c r="AU101" s="18" t="s">
        <v>87</v>
      </c>
    </row>
    <row r="102" spans="2:47" s="1" customFormat="1" ht="11.25">
      <c r="B102" s="33"/>
      <c r="D102" s="146" t="s">
        <v>189</v>
      </c>
      <c r="F102" s="147" t="s">
        <v>3749</v>
      </c>
      <c r="I102" s="144"/>
      <c r="L102" s="33"/>
      <c r="M102" s="145"/>
      <c r="T102" s="54"/>
      <c r="AT102" s="18" t="s">
        <v>189</v>
      </c>
      <c r="AU102" s="18" t="s">
        <v>87</v>
      </c>
    </row>
    <row r="103" spans="2:47" s="1" customFormat="1" ht="136.5">
      <c r="B103" s="33"/>
      <c r="D103" s="142" t="s">
        <v>191</v>
      </c>
      <c r="F103" s="148" t="s">
        <v>3750</v>
      </c>
      <c r="I103" s="144"/>
      <c r="L103" s="33"/>
      <c r="M103" s="145"/>
      <c r="T103" s="54"/>
      <c r="AT103" s="18" t="s">
        <v>191</v>
      </c>
      <c r="AU103" s="18" t="s">
        <v>87</v>
      </c>
    </row>
    <row r="104" spans="2:51" s="12" customFormat="1" ht="11.25">
      <c r="B104" s="149"/>
      <c r="D104" s="142" t="s">
        <v>193</v>
      </c>
      <c r="E104" s="150" t="s">
        <v>3</v>
      </c>
      <c r="F104" s="151" t="s">
        <v>3751</v>
      </c>
      <c r="H104" s="152">
        <v>60.75</v>
      </c>
      <c r="I104" s="153"/>
      <c r="L104" s="149"/>
      <c r="M104" s="154"/>
      <c r="T104" s="155"/>
      <c r="AT104" s="150" t="s">
        <v>193</v>
      </c>
      <c r="AU104" s="150" t="s">
        <v>87</v>
      </c>
      <c r="AV104" s="12" t="s">
        <v>87</v>
      </c>
      <c r="AW104" s="12" t="s">
        <v>36</v>
      </c>
      <c r="AX104" s="12" t="s">
        <v>85</v>
      </c>
      <c r="AY104" s="150" t="s">
        <v>177</v>
      </c>
    </row>
    <row r="105" spans="2:65" s="1" customFormat="1" ht="24.2" customHeight="1">
      <c r="B105" s="128"/>
      <c r="C105" s="179" t="s">
        <v>200</v>
      </c>
      <c r="D105" s="179" t="s">
        <v>484</v>
      </c>
      <c r="E105" s="180" t="s">
        <v>3752</v>
      </c>
      <c r="F105" s="181" t="s">
        <v>3753</v>
      </c>
      <c r="G105" s="182" t="s">
        <v>806</v>
      </c>
      <c r="H105" s="183">
        <v>60.75</v>
      </c>
      <c r="I105" s="184"/>
      <c r="J105" s="185">
        <f>ROUND(I105*H105,2)</f>
        <v>0</v>
      </c>
      <c r="K105" s="181" t="s">
        <v>184</v>
      </c>
      <c r="L105" s="186"/>
      <c r="M105" s="187" t="s">
        <v>3</v>
      </c>
      <c r="N105" s="188" t="s">
        <v>48</v>
      </c>
      <c r="P105" s="138">
        <f>O105*H105</f>
        <v>0</v>
      </c>
      <c r="Q105" s="138">
        <v>0.75</v>
      </c>
      <c r="R105" s="138">
        <f>Q105*H105</f>
        <v>45.5625</v>
      </c>
      <c r="S105" s="138">
        <v>0</v>
      </c>
      <c r="T105" s="139">
        <f>S105*H105</f>
        <v>0</v>
      </c>
      <c r="AR105" s="140" t="s">
        <v>248</v>
      </c>
      <c r="AT105" s="140" t="s">
        <v>484</v>
      </c>
      <c r="AU105" s="140" t="s">
        <v>87</v>
      </c>
      <c r="AY105" s="18" t="s">
        <v>177</v>
      </c>
      <c r="BE105" s="141">
        <f>IF(N105="základní",J105,0)</f>
        <v>0</v>
      </c>
      <c r="BF105" s="141">
        <f>IF(N105="snížená",J105,0)</f>
        <v>0</v>
      </c>
      <c r="BG105" s="141">
        <f>IF(N105="zákl. přenesená",J105,0)</f>
        <v>0</v>
      </c>
      <c r="BH105" s="141">
        <f>IF(N105="sníž. přenesená",J105,0)</f>
        <v>0</v>
      </c>
      <c r="BI105" s="141">
        <f>IF(N105="nulová",J105,0)</f>
        <v>0</v>
      </c>
      <c r="BJ105" s="18" t="s">
        <v>85</v>
      </c>
      <c r="BK105" s="141">
        <f>ROUND(I105*H105,2)</f>
        <v>0</v>
      </c>
      <c r="BL105" s="18" t="s">
        <v>185</v>
      </c>
      <c r="BM105" s="140" t="s">
        <v>3754</v>
      </c>
    </row>
    <row r="106" spans="2:47" s="1" customFormat="1" ht="19.5">
      <c r="B106" s="33"/>
      <c r="D106" s="142" t="s">
        <v>187</v>
      </c>
      <c r="F106" s="143" t="s">
        <v>3753</v>
      </c>
      <c r="I106" s="144"/>
      <c r="L106" s="33"/>
      <c r="M106" s="145"/>
      <c r="T106" s="54"/>
      <c r="AT106" s="18" t="s">
        <v>187</v>
      </c>
      <c r="AU106" s="18" t="s">
        <v>87</v>
      </c>
    </row>
    <row r="107" spans="2:65" s="1" customFormat="1" ht="24.2" customHeight="1">
      <c r="B107" s="128"/>
      <c r="C107" s="129" t="s">
        <v>233</v>
      </c>
      <c r="D107" s="129" t="s">
        <v>180</v>
      </c>
      <c r="E107" s="130" t="s">
        <v>3755</v>
      </c>
      <c r="F107" s="131" t="s">
        <v>3756</v>
      </c>
      <c r="G107" s="132" t="s">
        <v>806</v>
      </c>
      <c r="H107" s="133">
        <v>486</v>
      </c>
      <c r="I107" s="134"/>
      <c r="J107" s="135">
        <f>ROUND(I107*H107,2)</f>
        <v>0</v>
      </c>
      <c r="K107" s="131" t="s">
        <v>184</v>
      </c>
      <c r="L107" s="33"/>
      <c r="M107" s="136" t="s">
        <v>3</v>
      </c>
      <c r="N107" s="137" t="s">
        <v>48</v>
      </c>
      <c r="P107" s="138">
        <f>O107*H107</f>
        <v>0</v>
      </c>
      <c r="Q107" s="138">
        <v>0</v>
      </c>
      <c r="R107" s="138">
        <f>Q107*H107</f>
        <v>0</v>
      </c>
      <c r="S107" s="138">
        <v>0</v>
      </c>
      <c r="T107" s="139">
        <f>S107*H107</f>
        <v>0</v>
      </c>
      <c r="AR107" s="140" t="s">
        <v>185</v>
      </c>
      <c r="AT107" s="140" t="s">
        <v>180</v>
      </c>
      <c r="AU107" s="140" t="s">
        <v>87</v>
      </c>
      <c r="AY107" s="18" t="s">
        <v>177</v>
      </c>
      <c r="BE107" s="141">
        <f>IF(N107="základní",J107,0)</f>
        <v>0</v>
      </c>
      <c r="BF107" s="141">
        <f>IF(N107="snížená",J107,0)</f>
        <v>0</v>
      </c>
      <c r="BG107" s="141">
        <f>IF(N107="zákl. přenesená",J107,0)</f>
        <v>0</v>
      </c>
      <c r="BH107" s="141">
        <f>IF(N107="sníž. přenesená",J107,0)</f>
        <v>0</v>
      </c>
      <c r="BI107" s="141">
        <f>IF(N107="nulová",J107,0)</f>
        <v>0</v>
      </c>
      <c r="BJ107" s="18" t="s">
        <v>85</v>
      </c>
      <c r="BK107" s="141">
        <f>ROUND(I107*H107,2)</f>
        <v>0</v>
      </c>
      <c r="BL107" s="18" t="s">
        <v>185</v>
      </c>
      <c r="BM107" s="140" t="s">
        <v>3757</v>
      </c>
    </row>
    <row r="108" spans="2:47" s="1" customFormat="1" ht="29.25">
      <c r="B108" s="33"/>
      <c r="D108" s="142" t="s">
        <v>187</v>
      </c>
      <c r="F108" s="143" t="s">
        <v>3758</v>
      </c>
      <c r="I108" s="144"/>
      <c r="L108" s="33"/>
      <c r="M108" s="145"/>
      <c r="T108" s="54"/>
      <c r="AT108" s="18" t="s">
        <v>187</v>
      </c>
      <c r="AU108" s="18" t="s">
        <v>87</v>
      </c>
    </row>
    <row r="109" spans="2:47" s="1" customFormat="1" ht="11.25">
      <c r="B109" s="33"/>
      <c r="D109" s="146" t="s">
        <v>189</v>
      </c>
      <c r="F109" s="147" t="s">
        <v>3759</v>
      </c>
      <c r="I109" s="144"/>
      <c r="L109" s="33"/>
      <c r="M109" s="145"/>
      <c r="T109" s="54"/>
      <c r="AT109" s="18" t="s">
        <v>189</v>
      </c>
      <c r="AU109" s="18" t="s">
        <v>87</v>
      </c>
    </row>
    <row r="110" spans="2:47" s="1" customFormat="1" ht="136.5">
      <c r="B110" s="33"/>
      <c r="D110" s="142" t="s">
        <v>191</v>
      </c>
      <c r="F110" s="148" t="s">
        <v>3750</v>
      </c>
      <c r="I110" s="144"/>
      <c r="L110" s="33"/>
      <c r="M110" s="145"/>
      <c r="T110" s="54"/>
      <c r="AT110" s="18" t="s">
        <v>191</v>
      </c>
      <c r="AU110" s="18" t="s">
        <v>87</v>
      </c>
    </row>
    <row r="111" spans="2:65" s="1" customFormat="1" ht="24.2" customHeight="1">
      <c r="B111" s="128"/>
      <c r="C111" s="129" t="s">
        <v>241</v>
      </c>
      <c r="D111" s="129" t="s">
        <v>180</v>
      </c>
      <c r="E111" s="130" t="s">
        <v>3760</v>
      </c>
      <c r="F111" s="131" t="s">
        <v>3761</v>
      </c>
      <c r="G111" s="132" t="s">
        <v>806</v>
      </c>
      <c r="H111" s="133">
        <v>486</v>
      </c>
      <c r="I111" s="134"/>
      <c r="J111" s="135">
        <f>ROUND(I111*H111,2)</f>
        <v>0</v>
      </c>
      <c r="K111" s="131" t="s">
        <v>184</v>
      </c>
      <c r="L111" s="33"/>
      <c r="M111" s="136" t="s">
        <v>3</v>
      </c>
      <c r="N111" s="137" t="s">
        <v>48</v>
      </c>
      <c r="P111" s="138">
        <f>O111*H111</f>
        <v>0</v>
      </c>
      <c r="Q111" s="138">
        <v>0</v>
      </c>
      <c r="R111" s="138">
        <f>Q111*H111</f>
        <v>0</v>
      </c>
      <c r="S111" s="138">
        <v>0</v>
      </c>
      <c r="T111" s="139">
        <f>S111*H111</f>
        <v>0</v>
      </c>
      <c r="AR111" s="140" t="s">
        <v>185</v>
      </c>
      <c r="AT111" s="140" t="s">
        <v>180</v>
      </c>
      <c r="AU111" s="140" t="s">
        <v>87</v>
      </c>
      <c r="AY111" s="18" t="s">
        <v>177</v>
      </c>
      <c r="BE111" s="141">
        <f>IF(N111="základní",J111,0)</f>
        <v>0</v>
      </c>
      <c r="BF111" s="141">
        <f>IF(N111="snížená",J111,0)</f>
        <v>0</v>
      </c>
      <c r="BG111" s="141">
        <f>IF(N111="zákl. přenesená",J111,0)</f>
        <v>0</v>
      </c>
      <c r="BH111" s="141">
        <f>IF(N111="sníž. přenesená",J111,0)</f>
        <v>0</v>
      </c>
      <c r="BI111" s="141">
        <f>IF(N111="nulová",J111,0)</f>
        <v>0</v>
      </c>
      <c r="BJ111" s="18" t="s">
        <v>85</v>
      </c>
      <c r="BK111" s="141">
        <f>ROUND(I111*H111,2)</f>
        <v>0</v>
      </c>
      <c r="BL111" s="18" t="s">
        <v>185</v>
      </c>
      <c r="BM111" s="140" t="s">
        <v>3762</v>
      </c>
    </row>
    <row r="112" spans="2:47" s="1" customFormat="1" ht="29.25">
      <c r="B112" s="33"/>
      <c r="D112" s="142" t="s">
        <v>187</v>
      </c>
      <c r="F112" s="143" t="s">
        <v>3763</v>
      </c>
      <c r="I112" s="144"/>
      <c r="L112" s="33"/>
      <c r="M112" s="145"/>
      <c r="T112" s="54"/>
      <c r="AT112" s="18" t="s">
        <v>187</v>
      </c>
      <c r="AU112" s="18" t="s">
        <v>87</v>
      </c>
    </row>
    <row r="113" spans="2:47" s="1" customFormat="1" ht="11.25">
      <c r="B113" s="33"/>
      <c r="D113" s="146" t="s">
        <v>189</v>
      </c>
      <c r="F113" s="147" t="s">
        <v>3764</v>
      </c>
      <c r="I113" s="144"/>
      <c r="L113" s="33"/>
      <c r="M113" s="145"/>
      <c r="T113" s="54"/>
      <c r="AT113" s="18" t="s">
        <v>189</v>
      </c>
      <c r="AU113" s="18" t="s">
        <v>87</v>
      </c>
    </row>
    <row r="114" spans="2:47" s="1" customFormat="1" ht="185.25">
      <c r="B114" s="33"/>
      <c r="D114" s="142" t="s">
        <v>191</v>
      </c>
      <c r="F114" s="148" t="s">
        <v>3765</v>
      </c>
      <c r="I114" s="144"/>
      <c r="L114" s="33"/>
      <c r="M114" s="145"/>
      <c r="T114" s="54"/>
      <c r="AT114" s="18" t="s">
        <v>191</v>
      </c>
      <c r="AU114" s="18" t="s">
        <v>87</v>
      </c>
    </row>
    <row r="115" spans="2:51" s="13" customFormat="1" ht="11.25">
      <c r="B115" s="156"/>
      <c r="D115" s="142" t="s">
        <v>193</v>
      </c>
      <c r="E115" s="157" t="s">
        <v>3</v>
      </c>
      <c r="F115" s="158" t="s">
        <v>3766</v>
      </c>
      <c r="H115" s="157" t="s">
        <v>3</v>
      </c>
      <c r="I115" s="159"/>
      <c r="L115" s="156"/>
      <c r="M115" s="160"/>
      <c r="T115" s="161"/>
      <c r="AT115" s="157" t="s">
        <v>193</v>
      </c>
      <c r="AU115" s="157" t="s">
        <v>87</v>
      </c>
      <c r="AV115" s="13" t="s">
        <v>85</v>
      </c>
      <c r="AW115" s="13" t="s">
        <v>36</v>
      </c>
      <c r="AX115" s="13" t="s">
        <v>77</v>
      </c>
      <c r="AY115" s="157" t="s">
        <v>177</v>
      </c>
    </row>
    <row r="116" spans="2:51" s="12" customFormat="1" ht="11.25">
      <c r="B116" s="149"/>
      <c r="D116" s="142" t="s">
        <v>193</v>
      </c>
      <c r="E116" s="150" t="s">
        <v>3</v>
      </c>
      <c r="F116" s="151" t="s">
        <v>3767</v>
      </c>
      <c r="H116" s="152">
        <v>486</v>
      </c>
      <c r="I116" s="153"/>
      <c r="L116" s="149"/>
      <c r="M116" s="154"/>
      <c r="T116" s="155"/>
      <c r="AT116" s="150" t="s">
        <v>193</v>
      </c>
      <c r="AU116" s="150" t="s">
        <v>87</v>
      </c>
      <c r="AV116" s="12" t="s">
        <v>87</v>
      </c>
      <c r="AW116" s="12" t="s">
        <v>36</v>
      </c>
      <c r="AX116" s="12" t="s">
        <v>85</v>
      </c>
      <c r="AY116" s="150" t="s">
        <v>177</v>
      </c>
    </row>
    <row r="117" spans="2:65" s="1" customFormat="1" ht="33" customHeight="1">
      <c r="B117" s="128"/>
      <c r="C117" s="129" t="s">
        <v>248</v>
      </c>
      <c r="D117" s="129" t="s">
        <v>180</v>
      </c>
      <c r="E117" s="130" t="s">
        <v>3768</v>
      </c>
      <c r="F117" s="131" t="s">
        <v>3769</v>
      </c>
      <c r="G117" s="132" t="s">
        <v>332</v>
      </c>
      <c r="H117" s="133">
        <v>405</v>
      </c>
      <c r="I117" s="134"/>
      <c r="J117" s="135">
        <f>ROUND(I117*H117,2)</f>
        <v>0</v>
      </c>
      <c r="K117" s="131" t="s">
        <v>184</v>
      </c>
      <c r="L117" s="33"/>
      <c r="M117" s="136" t="s">
        <v>3</v>
      </c>
      <c r="N117" s="137" t="s">
        <v>48</v>
      </c>
      <c r="P117" s="138">
        <f>O117*H117</f>
        <v>0</v>
      </c>
      <c r="Q117" s="138">
        <v>0</v>
      </c>
      <c r="R117" s="138">
        <f>Q117*H117</f>
        <v>0</v>
      </c>
      <c r="S117" s="138">
        <v>0</v>
      </c>
      <c r="T117" s="139">
        <f>S117*H117</f>
        <v>0</v>
      </c>
      <c r="AR117" s="140" t="s">
        <v>185</v>
      </c>
      <c r="AT117" s="140" t="s">
        <v>180</v>
      </c>
      <c r="AU117" s="140" t="s">
        <v>87</v>
      </c>
      <c r="AY117" s="18" t="s">
        <v>177</v>
      </c>
      <c r="BE117" s="141">
        <f>IF(N117="základní",J117,0)</f>
        <v>0</v>
      </c>
      <c r="BF117" s="141">
        <f>IF(N117="snížená",J117,0)</f>
        <v>0</v>
      </c>
      <c r="BG117" s="141">
        <f>IF(N117="zákl. přenesená",J117,0)</f>
        <v>0</v>
      </c>
      <c r="BH117" s="141">
        <f>IF(N117="sníž. přenesená",J117,0)</f>
        <v>0</v>
      </c>
      <c r="BI117" s="141">
        <f>IF(N117="nulová",J117,0)</f>
        <v>0</v>
      </c>
      <c r="BJ117" s="18" t="s">
        <v>85</v>
      </c>
      <c r="BK117" s="141">
        <f>ROUND(I117*H117,2)</f>
        <v>0</v>
      </c>
      <c r="BL117" s="18" t="s">
        <v>185</v>
      </c>
      <c r="BM117" s="140" t="s">
        <v>3770</v>
      </c>
    </row>
    <row r="118" spans="2:47" s="1" customFormat="1" ht="29.25">
      <c r="B118" s="33"/>
      <c r="D118" s="142" t="s">
        <v>187</v>
      </c>
      <c r="F118" s="143" t="s">
        <v>3771</v>
      </c>
      <c r="I118" s="144"/>
      <c r="L118" s="33"/>
      <c r="M118" s="145"/>
      <c r="T118" s="54"/>
      <c r="AT118" s="18" t="s">
        <v>187</v>
      </c>
      <c r="AU118" s="18" t="s">
        <v>87</v>
      </c>
    </row>
    <row r="119" spans="2:47" s="1" customFormat="1" ht="11.25">
      <c r="B119" s="33"/>
      <c r="D119" s="146" t="s">
        <v>189</v>
      </c>
      <c r="F119" s="147" t="s">
        <v>3772</v>
      </c>
      <c r="I119" s="144"/>
      <c r="L119" s="33"/>
      <c r="M119" s="145"/>
      <c r="T119" s="54"/>
      <c r="AT119" s="18" t="s">
        <v>189</v>
      </c>
      <c r="AU119" s="18" t="s">
        <v>87</v>
      </c>
    </row>
    <row r="120" spans="2:47" s="1" customFormat="1" ht="68.25">
      <c r="B120" s="33"/>
      <c r="D120" s="142" t="s">
        <v>191</v>
      </c>
      <c r="F120" s="148" t="s">
        <v>3773</v>
      </c>
      <c r="I120" s="144"/>
      <c r="L120" s="33"/>
      <c r="M120" s="145"/>
      <c r="T120" s="54"/>
      <c r="AT120" s="18" t="s">
        <v>191</v>
      </c>
      <c r="AU120" s="18" t="s">
        <v>87</v>
      </c>
    </row>
    <row r="121" spans="2:65" s="1" customFormat="1" ht="24.2" customHeight="1">
      <c r="B121" s="128"/>
      <c r="C121" s="129" t="s">
        <v>252</v>
      </c>
      <c r="D121" s="129" t="s">
        <v>180</v>
      </c>
      <c r="E121" s="130" t="s">
        <v>3774</v>
      </c>
      <c r="F121" s="131" t="s">
        <v>3775</v>
      </c>
      <c r="G121" s="132" t="s">
        <v>332</v>
      </c>
      <c r="H121" s="133">
        <v>405</v>
      </c>
      <c r="I121" s="134"/>
      <c r="J121" s="135">
        <f>ROUND(I121*H121,2)</f>
        <v>0</v>
      </c>
      <c r="K121" s="131" t="s">
        <v>184</v>
      </c>
      <c r="L121" s="33"/>
      <c r="M121" s="136" t="s">
        <v>3</v>
      </c>
      <c r="N121" s="137" t="s">
        <v>48</v>
      </c>
      <c r="P121" s="138">
        <f>O121*H121</f>
        <v>0</v>
      </c>
      <c r="Q121" s="138">
        <v>0</v>
      </c>
      <c r="R121" s="138">
        <f>Q121*H121</f>
        <v>0</v>
      </c>
      <c r="S121" s="138">
        <v>0</v>
      </c>
      <c r="T121" s="139">
        <f>S121*H121</f>
        <v>0</v>
      </c>
      <c r="AR121" s="140" t="s">
        <v>185</v>
      </c>
      <c r="AT121" s="140" t="s">
        <v>180</v>
      </c>
      <c r="AU121" s="140" t="s">
        <v>87</v>
      </c>
      <c r="AY121" s="18" t="s">
        <v>177</v>
      </c>
      <c r="BE121" s="141">
        <f>IF(N121="základní",J121,0)</f>
        <v>0</v>
      </c>
      <c r="BF121" s="141">
        <f>IF(N121="snížená",J121,0)</f>
        <v>0</v>
      </c>
      <c r="BG121" s="141">
        <f>IF(N121="zákl. přenesená",J121,0)</f>
        <v>0</v>
      </c>
      <c r="BH121" s="141">
        <f>IF(N121="sníž. přenesená",J121,0)</f>
        <v>0</v>
      </c>
      <c r="BI121" s="141">
        <f>IF(N121="nulová",J121,0)</f>
        <v>0</v>
      </c>
      <c r="BJ121" s="18" t="s">
        <v>85</v>
      </c>
      <c r="BK121" s="141">
        <f>ROUND(I121*H121,2)</f>
        <v>0</v>
      </c>
      <c r="BL121" s="18" t="s">
        <v>185</v>
      </c>
      <c r="BM121" s="140" t="s">
        <v>3776</v>
      </c>
    </row>
    <row r="122" spans="2:47" s="1" customFormat="1" ht="19.5">
      <c r="B122" s="33"/>
      <c r="D122" s="142" t="s">
        <v>187</v>
      </c>
      <c r="F122" s="143" t="s">
        <v>3777</v>
      </c>
      <c r="I122" s="144"/>
      <c r="L122" s="33"/>
      <c r="M122" s="145"/>
      <c r="T122" s="54"/>
      <c r="AT122" s="18" t="s">
        <v>187</v>
      </c>
      <c r="AU122" s="18" t="s">
        <v>87</v>
      </c>
    </row>
    <row r="123" spans="2:47" s="1" customFormat="1" ht="11.25">
      <c r="B123" s="33"/>
      <c r="D123" s="146" t="s">
        <v>189</v>
      </c>
      <c r="F123" s="147" t="s">
        <v>3778</v>
      </c>
      <c r="I123" s="144"/>
      <c r="L123" s="33"/>
      <c r="M123" s="145"/>
      <c r="T123" s="54"/>
      <c r="AT123" s="18" t="s">
        <v>189</v>
      </c>
      <c r="AU123" s="18" t="s">
        <v>87</v>
      </c>
    </row>
    <row r="124" spans="2:47" s="1" customFormat="1" ht="156">
      <c r="B124" s="33"/>
      <c r="D124" s="142" t="s">
        <v>191</v>
      </c>
      <c r="F124" s="148" t="s">
        <v>3779</v>
      </c>
      <c r="I124" s="144"/>
      <c r="L124" s="33"/>
      <c r="M124" s="145"/>
      <c r="T124" s="54"/>
      <c r="AT124" s="18" t="s">
        <v>191</v>
      </c>
      <c r="AU124" s="18" t="s">
        <v>87</v>
      </c>
    </row>
    <row r="125" spans="2:65" s="1" customFormat="1" ht="16.5" customHeight="1">
      <c r="B125" s="128"/>
      <c r="C125" s="179" t="s">
        <v>258</v>
      </c>
      <c r="D125" s="179" t="s">
        <v>484</v>
      </c>
      <c r="E125" s="180" t="s">
        <v>3780</v>
      </c>
      <c r="F125" s="181" t="s">
        <v>3781</v>
      </c>
      <c r="G125" s="182" t="s">
        <v>1628</v>
      </c>
      <c r="H125" s="183">
        <v>6.075</v>
      </c>
      <c r="I125" s="184"/>
      <c r="J125" s="185">
        <f>ROUND(I125*H125,2)</f>
        <v>0</v>
      </c>
      <c r="K125" s="181" t="s">
        <v>184</v>
      </c>
      <c r="L125" s="186"/>
      <c r="M125" s="187" t="s">
        <v>3</v>
      </c>
      <c r="N125" s="188" t="s">
        <v>48</v>
      </c>
      <c r="P125" s="138">
        <f>O125*H125</f>
        <v>0</v>
      </c>
      <c r="Q125" s="138">
        <v>0.001</v>
      </c>
      <c r="R125" s="138">
        <f>Q125*H125</f>
        <v>0.0060750000000000005</v>
      </c>
      <c r="S125" s="138">
        <v>0</v>
      </c>
      <c r="T125" s="139">
        <f>S125*H125</f>
        <v>0</v>
      </c>
      <c r="AR125" s="140" t="s">
        <v>248</v>
      </c>
      <c r="AT125" s="140" t="s">
        <v>484</v>
      </c>
      <c r="AU125" s="140" t="s">
        <v>87</v>
      </c>
      <c r="AY125" s="18" t="s">
        <v>177</v>
      </c>
      <c r="BE125" s="141">
        <f>IF(N125="základní",J125,0)</f>
        <v>0</v>
      </c>
      <c r="BF125" s="141">
        <f>IF(N125="snížená",J125,0)</f>
        <v>0</v>
      </c>
      <c r="BG125" s="141">
        <f>IF(N125="zákl. přenesená",J125,0)</f>
        <v>0</v>
      </c>
      <c r="BH125" s="141">
        <f>IF(N125="sníž. přenesená",J125,0)</f>
        <v>0</v>
      </c>
      <c r="BI125" s="141">
        <f>IF(N125="nulová",J125,0)</f>
        <v>0</v>
      </c>
      <c r="BJ125" s="18" t="s">
        <v>85</v>
      </c>
      <c r="BK125" s="141">
        <f>ROUND(I125*H125,2)</f>
        <v>0</v>
      </c>
      <c r="BL125" s="18" t="s">
        <v>185</v>
      </c>
      <c r="BM125" s="140" t="s">
        <v>3782</v>
      </c>
    </row>
    <row r="126" spans="2:47" s="1" customFormat="1" ht="11.25">
      <c r="B126" s="33"/>
      <c r="D126" s="142" t="s">
        <v>187</v>
      </c>
      <c r="F126" s="143" t="s">
        <v>3781</v>
      </c>
      <c r="I126" s="144"/>
      <c r="L126" s="33"/>
      <c r="M126" s="145"/>
      <c r="T126" s="54"/>
      <c r="AT126" s="18" t="s">
        <v>187</v>
      </c>
      <c r="AU126" s="18" t="s">
        <v>87</v>
      </c>
    </row>
    <row r="127" spans="2:51" s="12" customFormat="1" ht="11.25">
      <c r="B127" s="149"/>
      <c r="D127" s="142" t="s">
        <v>193</v>
      </c>
      <c r="F127" s="151" t="s">
        <v>3783</v>
      </c>
      <c r="H127" s="152">
        <v>6.075</v>
      </c>
      <c r="I127" s="153"/>
      <c r="L127" s="149"/>
      <c r="M127" s="154"/>
      <c r="T127" s="155"/>
      <c r="AT127" s="150" t="s">
        <v>193</v>
      </c>
      <c r="AU127" s="150" t="s">
        <v>87</v>
      </c>
      <c r="AV127" s="12" t="s">
        <v>87</v>
      </c>
      <c r="AW127" s="12" t="s">
        <v>4</v>
      </c>
      <c r="AX127" s="12" t="s">
        <v>85</v>
      </c>
      <c r="AY127" s="150" t="s">
        <v>177</v>
      </c>
    </row>
    <row r="128" spans="2:65" s="1" customFormat="1" ht="24.2" customHeight="1">
      <c r="B128" s="128"/>
      <c r="C128" s="129" t="s">
        <v>265</v>
      </c>
      <c r="D128" s="129" t="s">
        <v>180</v>
      </c>
      <c r="E128" s="130" t="s">
        <v>3784</v>
      </c>
      <c r="F128" s="131" t="s">
        <v>3785</v>
      </c>
      <c r="G128" s="132" t="s">
        <v>332</v>
      </c>
      <c r="H128" s="133">
        <v>405</v>
      </c>
      <c r="I128" s="134"/>
      <c r="J128" s="135">
        <f>ROUND(I128*H128,2)</f>
        <v>0</v>
      </c>
      <c r="K128" s="131" t="s">
        <v>184</v>
      </c>
      <c r="L128" s="33"/>
      <c r="M128" s="136" t="s">
        <v>3</v>
      </c>
      <c r="N128" s="137" t="s">
        <v>48</v>
      </c>
      <c r="P128" s="138">
        <f>O128*H128</f>
        <v>0</v>
      </c>
      <c r="Q128" s="138">
        <v>0</v>
      </c>
      <c r="R128" s="138">
        <f>Q128*H128</f>
        <v>0</v>
      </c>
      <c r="S128" s="138">
        <v>0</v>
      </c>
      <c r="T128" s="139">
        <f>S128*H128</f>
        <v>0</v>
      </c>
      <c r="AR128" s="140" t="s">
        <v>185</v>
      </c>
      <c r="AT128" s="140" t="s">
        <v>180</v>
      </c>
      <c r="AU128" s="140" t="s">
        <v>87</v>
      </c>
      <c r="AY128" s="18" t="s">
        <v>177</v>
      </c>
      <c r="BE128" s="141">
        <f>IF(N128="základní",J128,0)</f>
        <v>0</v>
      </c>
      <c r="BF128" s="141">
        <f>IF(N128="snížená",J128,0)</f>
        <v>0</v>
      </c>
      <c r="BG128" s="141">
        <f>IF(N128="zákl. přenesená",J128,0)</f>
        <v>0</v>
      </c>
      <c r="BH128" s="141">
        <f>IF(N128="sníž. přenesená",J128,0)</f>
        <v>0</v>
      </c>
      <c r="BI128" s="141">
        <f>IF(N128="nulová",J128,0)</f>
        <v>0</v>
      </c>
      <c r="BJ128" s="18" t="s">
        <v>85</v>
      </c>
      <c r="BK128" s="141">
        <f>ROUND(I128*H128,2)</f>
        <v>0</v>
      </c>
      <c r="BL128" s="18" t="s">
        <v>185</v>
      </c>
      <c r="BM128" s="140" t="s">
        <v>3786</v>
      </c>
    </row>
    <row r="129" spans="2:47" s="1" customFormat="1" ht="19.5">
      <c r="B129" s="33"/>
      <c r="D129" s="142" t="s">
        <v>187</v>
      </c>
      <c r="F129" s="143" t="s">
        <v>3787</v>
      </c>
      <c r="I129" s="144"/>
      <c r="L129" s="33"/>
      <c r="M129" s="145"/>
      <c r="T129" s="54"/>
      <c r="AT129" s="18" t="s">
        <v>187</v>
      </c>
      <c r="AU129" s="18" t="s">
        <v>87</v>
      </c>
    </row>
    <row r="130" spans="2:47" s="1" customFormat="1" ht="11.25">
      <c r="B130" s="33"/>
      <c r="D130" s="146" t="s">
        <v>189</v>
      </c>
      <c r="F130" s="147" t="s">
        <v>3788</v>
      </c>
      <c r="I130" s="144"/>
      <c r="L130" s="33"/>
      <c r="M130" s="145"/>
      <c r="T130" s="54"/>
      <c r="AT130" s="18" t="s">
        <v>189</v>
      </c>
      <c r="AU130" s="18" t="s">
        <v>87</v>
      </c>
    </row>
    <row r="131" spans="2:47" s="1" customFormat="1" ht="146.25">
      <c r="B131" s="33"/>
      <c r="D131" s="142" t="s">
        <v>191</v>
      </c>
      <c r="F131" s="148" t="s">
        <v>3789</v>
      </c>
      <c r="I131" s="144"/>
      <c r="L131" s="33"/>
      <c r="M131" s="145"/>
      <c r="T131" s="54"/>
      <c r="AT131" s="18" t="s">
        <v>191</v>
      </c>
      <c r="AU131" s="18" t="s">
        <v>87</v>
      </c>
    </row>
    <row r="132" spans="2:65" s="1" customFormat="1" ht="24.2" customHeight="1">
      <c r="B132" s="128"/>
      <c r="C132" s="129" t="s">
        <v>271</v>
      </c>
      <c r="D132" s="129" t="s">
        <v>180</v>
      </c>
      <c r="E132" s="130" t="s">
        <v>3790</v>
      </c>
      <c r="F132" s="131" t="s">
        <v>3791</v>
      </c>
      <c r="G132" s="132" t="s">
        <v>332</v>
      </c>
      <c r="H132" s="133">
        <v>405</v>
      </c>
      <c r="I132" s="134"/>
      <c r="J132" s="135">
        <f>ROUND(I132*H132,2)</f>
        <v>0</v>
      </c>
      <c r="K132" s="131" t="s">
        <v>184</v>
      </c>
      <c r="L132" s="33"/>
      <c r="M132" s="136" t="s">
        <v>3</v>
      </c>
      <c r="N132" s="137" t="s">
        <v>48</v>
      </c>
      <c r="P132" s="138">
        <f>O132*H132</f>
        <v>0</v>
      </c>
      <c r="Q132" s="138">
        <v>0</v>
      </c>
      <c r="R132" s="138">
        <f>Q132*H132</f>
        <v>0</v>
      </c>
      <c r="S132" s="138">
        <v>0</v>
      </c>
      <c r="T132" s="139">
        <f>S132*H132</f>
        <v>0</v>
      </c>
      <c r="AR132" s="140" t="s">
        <v>185</v>
      </c>
      <c r="AT132" s="140" t="s">
        <v>180</v>
      </c>
      <c r="AU132" s="140" t="s">
        <v>87</v>
      </c>
      <c r="AY132" s="18" t="s">
        <v>177</v>
      </c>
      <c r="BE132" s="141">
        <f>IF(N132="základní",J132,0)</f>
        <v>0</v>
      </c>
      <c r="BF132" s="141">
        <f>IF(N132="snížená",J132,0)</f>
        <v>0</v>
      </c>
      <c r="BG132" s="141">
        <f>IF(N132="zákl. přenesená",J132,0)</f>
        <v>0</v>
      </c>
      <c r="BH132" s="141">
        <f>IF(N132="sníž. přenesená",J132,0)</f>
        <v>0</v>
      </c>
      <c r="BI132" s="141">
        <f>IF(N132="nulová",J132,0)</f>
        <v>0</v>
      </c>
      <c r="BJ132" s="18" t="s">
        <v>85</v>
      </c>
      <c r="BK132" s="141">
        <f>ROUND(I132*H132,2)</f>
        <v>0</v>
      </c>
      <c r="BL132" s="18" t="s">
        <v>185</v>
      </c>
      <c r="BM132" s="140" t="s">
        <v>3792</v>
      </c>
    </row>
    <row r="133" spans="2:47" s="1" customFormat="1" ht="19.5">
      <c r="B133" s="33"/>
      <c r="D133" s="142" t="s">
        <v>187</v>
      </c>
      <c r="F133" s="143" t="s">
        <v>3793</v>
      </c>
      <c r="I133" s="144"/>
      <c r="L133" s="33"/>
      <c r="M133" s="145"/>
      <c r="T133" s="54"/>
      <c r="AT133" s="18" t="s">
        <v>187</v>
      </c>
      <c r="AU133" s="18" t="s">
        <v>87</v>
      </c>
    </row>
    <row r="134" spans="2:47" s="1" customFormat="1" ht="11.25">
      <c r="B134" s="33"/>
      <c r="D134" s="146" t="s">
        <v>189</v>
      </c>
      <c r="F134" s="147" t="s">
        <v>3794</v>
      </c>
      <c r="I134" s="144"/>
      <c r="L134" s="33"/>
      <c r="M134" s="145"/>
      <c r="T134" s="54"/>
      <c r="AT134" s="18" t="s">
        <v>189</v>
      </c>
      <c r="AU134" s="18" t="s">
        <v>87</v>
      </c>
    </row>
    <row r="135" spans="2:47" s="1" customFormat="1" ht="146.25">
      <c r="B135" s="33"/>
      <c r="D135" s="142" t="s">
        <v>191</v>
      </c>
      <c r="F135" s="148" t="s">
        <v>3789</v>
      </c>
      <c r="I135" s="144"/>
      <c r="L135" s="33"/>
      <c r="M135" s="145"/>
      <c r="T135" s="54"/>
      <c r="AT135" s="18" t="s">
        <v>191</v>
      </c>
      <c r="AU135" s="18" t="s">
        <v>87</v>
      </c>
    </row>
    <row r="136" spans="2:63" s="11" customFormat="1" ht="22.9" customHeight="1">
      <c r="B136" s="116"/>
      <c r="D136" s="117" t="s">
        <v>76</v>
      </c>
      <c r="E136" s="126" t="s">
        <v>200</v>
      </c>
      <c r="F136" s="126" t="s">
        <v>3795</v>
      </c>
      <c r="I136" s="119"/>
      <c r="J136" s="127">
        <f>BK136</f>
        <v>0</v>
      </c>
      <c r="L136" s="116"/>
      <c r="M136" s="121"/>
      <c r="P136" s="122">
        <f>SUM(P137:P146)</f>
        <v>0</v>
      </c>
      <c r="R136" s="122">
        <f>SUM(R137:R146)</f>
        <v>230.67149999999998</v>
      </c>
      <c r="T136" s="123">
        <f>SUM(T137:T146)</f>
        <v>0</v>
      </c>
      <c r="AR136" s="117" t="s">
        <v>85</v>
      </c>
      <c r="AT136" s="124" t="s">
        <v>76</v>
      </c>
      <c r="AU136" s="124" t="s">
        <v>85</v>
      </c>
      <c r="AY136" s="117" t="s">
        <v>177</v>
      </c>
      <c r="BK136" s="125">
        <f>SUM(BK137:BK146)</f>
        <v>0</v>
      </c>
    </row>
    <row r="137" spans="2:65" s="1" customFormat="1" ht="24.2" customHeight="1">
      <c r="B137" s="128"/>
      <c r="C137" s="129" t="s">
        <v>277</v>
      </c>
      <c r="D137" s="129" t="s">
        <v>180</v>
      </c>
      <c r="E137" s="130" t="s">
        <v>3796</v>
      </c>
      <c r="F137" s="131" t="s">
        <v>3797</v>
      </c>
      <c r="G137" s="132" t="s">
        <v>332</v>
      </c>
      <c r="H137" s="133">
        <v>34.7</v>
      </c>
      <c r="I137" s="134"/>
      <c r="J137" s="135">
        <f>ROUND(I137*H137,2)</f>
        <v>0</v>
      </c>
      <c r="K137" s="131" t="s">
        <v>184</v>
      </c>
      <c r="L137" s="33"/>
      <c r="M137" s="136" t="s">
        <v>3</v>
      </c>
      <c r="N137" s="137" t="s">
        <v>48</v>
      </c>
      <c r="P137" s="138">
        <f>O137*H137</f>
        <v>0</v>
      </c>
      <c r="Q137" s="138">
        <v>0.345</v>
      </c>
      <c r="R137" s="138">
        <f>Q137*H137</f>
        <v>11.9715</v>
      </c>
      <c r="S137" s="138">
        <v>0</v>
      </c>
      <c r="T137" s="139">
        <f>S137*H137</f>
        <v>0</v>
      </c>
      <c r="AR137" s="140" t="s">
        <v>185</v>
      </c>
      <c r="AT137" s="140" t="s">
        <v>180</v>
      </c>
      <c r="AU137" s="140" t="s">
        <v>87</v>
      </c>
      <c r="AY137" s="18" t="s">
        <v>177</v>
      </c>
      <c r="BE137" s="141">
        <f>IF(N137="základní",J137,0)</f>
        <v>0</v>
      </c>
      <c r="BF137" s="141">
        <f>IF(N137="snížená",J137,0)</f>
        <v>0</v>
      </c>
      <c r="BG137" s="141">
        <f>IF(N137="zákl. přenesená",J137,0)</f>
        <v>0</v>
      </c>
      <c r="BH137" s="141">
        <f>IF(N137="sníž. přenesená",J137,0)</f>
        <v>0</v>
      </c>
      <c r="BI137" s="141">
        <f>IF(N137="nulová",J137,0)</f>
        <v>0</v>
      </c>
      <c r="BJ137" s="18" t="s">
        <v>85</v>
      </c>
      <c r="BK137" s="141">
        <f>ROUND(I137*H137,2)</f>
        <v>0</v>
      </c>
      <c r="BL137" s="18" t="s">
        <v>185</v>
      </c>
      <c r="BM137" s="140" t="s">
        <v>3798</v>
      </c>
    </row>
    <row r="138" spans="2:47" s="1" customFormat="1" ht="19.5">
      <c r="B138" s="33"/>
      <c r="D138" s="142" t="s">
        <v>187</v>
      </c>
      <c r="F138" s="143" t="s">
        <v>3799</v>
      </c>
      <c r="I138" s="144"/>
      <c r="L138" s="33"/>
      <c r="M138" s="145"/>
      <c r="T138" s="54"/>
      <c r="AT138" s="18" t="s">
        <v>187</v>
      </c>
      <c r="AU138" s="18" t="s">
        <v>87</v>
      </c>
    </row>
    <row r="139" spans="2:47" s="1" customFormat="1" ht="11.25">
      <c r="B139" s="33"/>
      <c r="D139" s="146" t="s">
        <v>189</v>
      </c>
      <c r="F139" s="147" t="s">
        <v>3800</v>
      </c>
      <c r="I139" s="144"/>
      <c r="L139" s="33"/>
      <c r="M139" s="145"/>
      <c r="T139" s="54"/>
      <c r="AT139" s="18" t="s">
        <v>189</v>
      </c>
      <c r="AU139" s="18" t="s">
        <v>87</v>
      </c>
    </row>
    <row r="140" spans="2:65" s="1" customFormat="1" ht="24.2" customHeight="1">
      <c r="B140" s="128"/>
      <c r="C140" s="129" t="s">
        <v>283</v>
      </c>
      <c r="D140" s="129" t="s">
        <v>180</v>
      </c>
      <c r="E140" s="130" t="s">
        <v>3801</v>
      </c>
      <c r="F140" s="131" t="s">
        <v>3802</v>
      </c>
      <c r="G140" s="132" t="s">
        <v>332</v>
      </c>
      <c r="H140" s="133">
        <v>405</v>
      </c>
      <c r="I140" s="134"/>
      <c r="J140" s="135">
        <f>ROUND(I140*H140,2)</f>
        <v>0</v>
      </c>
      <c r="K140" s="131" t="s">
        <v>184</v>
      </c>
      <c r="L140" s="33"/>
      <c r="M140" s="136" t="s">
        <v>3</v>
      </c>
      <c r="N140" s="137" t="s">
        <v>48</v>
      </c>
      <c r="P140" s="138">
        <f>O140*H140</f>
        <v>0</v>
      </c>
      <c r="Q140" s="138">
        <v>0.18</v>
      </c>
      <c r="R140" s="138">
        <f>Q140*H140</f>
        <v>72.89999999999999</v>
      </c>
      <c r="S140" s="138">
        <v>0</v>
      </c>
      <c r="T140" s="139">
        <f>S140*H140</f>
        <v>0</v>
      </c>
      <c r="AR140" s="140" t="s">
        <v>185</v>
      </c>
      <c r="AT140" s="140" t="s">
        <v>180</v>
      </c>
      <c r="AU140" s="140" t="s">
        <v>87</v>
      </c>
      <c r="AY140" s="18" t="s">
        <v>177</v>
      </c>
      <c r="BE140" s="141">
        <f>IF(N140="základní",J140,0)</f>
        <v>0</v>
      </c>
      <c r="BF140" s="141">
        <f>IF(N140="snížená",J140,0)</f>
        <v>0</v>
      </c>
      <c r="BG140" s="141">
        <f>IF(N140="zákl. přenesená",J140,0)</f>
        <v>0</v>
      </c>
      <c r="BH140" s="141">
        <f>IF(N140="sníž. přenesená",J140,0)</f>
        <v>0</v>
      </c>
      <c r="BI140" s="141">
        <f>IF(N140="nulová",J140,0)</f>
        <v>0</v>
      </c>
      <c r="BJ140" s="18" t="s">
        <v>85</v>
      </c>
      <c r="BK140" s="141">
        <f>ROUND(I140*H140,2)</f>
        <v>0</v>
      </c>
      <c r="BL140" s="18" t="s">
        <v>185</v>
      </c>
      <c r="BM140" s="140" t="s">
        <v>3803</v>
      </c>
    </row>
    <row r="141" spans="2:47" s="1" customFormat="1" ht="19.5">
      <c r="B141" s="33"/>
      <c r="D141" s="142" t="s">
        <v>187</v>
      </c>
      <c r="F141" s="143" t="s">
        <v>3804</v>
      </c>
      <c r="I141" s="144"/>
      <c r="L141" s="33"/>
      <c r="M141" s="145"/>
      <c r="T141" s="54"/>
      <c r="AT141" s="18" t="s">
        <v>187</v>
      </c>
      <c r="AU141" s="18" t="s">
        <v>87</v>
      </c>
    </row>
    <row r="142" spans="2:47" s="1" customFormat="1" ht="11.25">
      <c r="B142" s="33"/>
      <c r="D142" s="146" t="s">
        <v>189</v>
      </c>
      <c r="F142" s="147" t="s">
        <v>3805</v>
      </c>
      <c r="I142" s="144"/>
      <c r="L142" s="33"/>
      <c r="M142" s="145"/>
      <c r="T142" s="54"/>
      <c r="AT142" s="18" t="s">
        <v>189</v>
      </c>
      <c r="AU142" s="18" t="s">
        <v>87</v>
      </c>
    </row>
    <row r="143" spans="2:51" s="12" customFormat="1" ht="11.25">
      <c r="B143" s="149"/>
      <c r="D143" s="142" t="s">
        <v>193</v>
      </c>
      <c r="E143" s="150" t="s">
        <v>3</v>
      </c>
      <c r="F143" s="151" t="s">
        <v>3806</v>
      </c>
      <c r="H143" s="152">
        <v>405</v>
      </c>
      <c r="I143" s="153"/>
      <c r="L143" s="149"/>
      <c r="M143" s="154"/>
      <c r="T143" s="155"/>
      <c r="AT143" s="150" t="s">
        <v>193</v>
      </c>
      <c r="AU143" s="150" t="s">
        <v>87</v>
      </c>
      <c r="AV143" s="12" t="s">
        <v>87</v>
      </c>
      <c r="AW143" s="12" t="s">
        <v>36</v>
      </c>
      <c r="AX143" s="12" t="s">
        <v>85</v>
      </c>
      <c r="AY143" s="150" t="s">
        <v>177</v>
      </c>
    </row>
    <row r="144" spans="2:65" s="1" customFormat="1" ht="24.2" customHeight="1">
      <c r="B144" s="128"/>
      <c r="C144" s="129" t="s">
        <v>9</v>
      </c>
      <c r="D144" s="129" t="s">
        <v>180</v>
      </c>
      <c r="E144" s="130" t="s">
        <v>3807</v>
      </c>
      <c r="F144" s="131" t="s">
        <v>3808</v>
      </c>
      <c r="G144" s="132" t="s">
        <v>332</v>
      </c>
      <c r="H144" s="133">
        <v>405</v>
      </c>
      <c r="I144" s="134"/>
      <c r="J144" s="135">
        <f>ROUND(I144*H144,2)</f>
        <v>0</v>
      </c>
      <c r="K144" s="131" t="s">
        <v>184</v>
      </c>
      <c r="L144" s="33"/>
      <c r="M144" s="136" t="s">
        <v>3</v>
      </c>
      <c r="N144" s="137" t="s">
        <v>48</v>
      </c>
      <c r="P144" s="138">
        <f>O144*H144</f>
        <v>0</v>
      </c>
      <c r="Q144" s="138">
        <v>0.36</v>
      </c>
      <c r="R144" s="138">
        <f>Q144*H144</f>
        <v>145.79999999999998</v>
      </c>
      <c r="S144" s="138">
        <v>0</v>
      </c>
      <c r="T144" s="139">
        <f>S144*H144</f>
        <v>0</v>
      </c>
      <c r="AR144" s="140" t="s">
        <v>185</v>
      </c>
      <c r="AT144" s="140" t="s">
        <v>180</v>
      </c>
      <c r="AU144" s="140" t="s">
        <v>87</v>
      </c>
      <c r="AY144" s="18" t="s">
        <v>177</v>
      </c>
      <c r="BE144" s="141">
        <f>IF(N144="základní",J144,0)</f>
        <v>0</v>
      </c>
      <c r="BF144" s="141">
        <f>IF(N144="snížená",J144,0)</f>
        <v>0</v>
      </c>
      <c r="BG144" s="141">
        <f>IF(N144="zákl. přenesená",J144,0)</f>
        <v>0</v>
      </c>
      <c r="BH144" s="141">
        <f>IF(N144="sníž. přenesená",J144,0)</f>
        <v>0</v>
      </c>
      <c r="BI144" s="141">
        <f>IF(N144="nulová",J144,0)</f>
        <v>0</v>
      </c>
      <c r="BJ144" s="18" t="s">
        <v>85</v>
      </c>
      <c r="BK144" s="141">
        <f>ROUND(I144*H144,2)</f>
        <v>0</v>
      </c>
      <c r="BL144" s="18" t="s">
        <v>185</v>
      </c>
      <c r="BM144" s="140" t="s">
        <v>3809</v>
      </c>
    </row>
    <row r="145" spans="2:47" s="1" customFormat="1" ht="19.5">
      <c r="B145" s="33"/>
      <c r="D145" s="142" t="s">
        <v>187</v>
      </c>
      <c r="F145" s="143" t="s">
        <v>3810</v>
      </c>
      <c r="I145" s="144"/>
      <c r="L145" s="33"/>
      <c r="M145" s="145"/>
      <c r="T145" s="54"/>
      <c r="AT145" s="18" t="s">
        <v>187</v>
      </c>
      <c r="AU145" s="18" t="s">
        <v>87</v>
      </c>
    </row>
    <row r="146" spans="2:47" s="1" customFormat="1" ht="11.25">
      <c r="B146" s="33"/>
      <c r="D146" s="146" t="s">
        <v>189</v>
      </c>
      <c r="F146" s="147" t="s">
        <v>3811</v>
      </c>
      <c r="I146" s="144"/>
      <c r="L146" s="33"/>
      <c r="M146" s="145"/>
      <c r="T146" s="54"/>
      <c r="AT146" s="18" t="s">
        <v>189</v>
      </c>
      <c r="AU146" s="18" t="s">
        <v>87</v>
      </c>
    </row>
    <row r="147" spans="2:63" s="11" customFormat="1" ht="22.9" customHeight="1">
      <c r="B147" s="116"/>
      <c r="D147" s="117" t="s">
        <v>76</v>
      </c>
      <c r="E147" s="126" t="s">
        <v>233</v>
      </c>
      <c r="F147" s="126" t="s">
        <v>625</v>
      </c>
      <c r="I147" s="119"/>
      <c r="J147" s="127">
        <f>BK147</f>
        <v>0</v>
      </c>
      <c r="L147" s="116"/>
      <c r="M147" s="121"/>
      <c r="P147" s="122">
        <f>SUM(P148:P158)</f>
        <v>0</v>
      </c>
      <c r="R147" s="122">
        <f>SUM(R148:R158)</f>
        <v>17.1541314</v>
      </c>
      <c r="T147" s="123">
        <f>SUM(T148:T158)</f>
        <v>0</v>
      </c>
      <c r="AR147" s="117" t="s">
        <v>85</v>
      </c>
      <c r="AT147" s="124" t="s">
        <v>76</v>
      </c>
      <c r="AU147" s="124" t="s">
        <v>85</v>
      </c>
      <c r="AY147" s="117" t="s">
        <v>177</v>
      </c>
      <c r="BK147" s="125">
        <f>SUM(BK148:BK158)</f>
        <v>0</v>
      </c>
    </row>
    <row r="148" spans="2:65" s="1" customFormat="1" ht="24.2" customHeight="1">
      <c r="B148" s="128"/>
      <c r="C148" s="129" t="s">
        <v>237</v>
      </c>
      <c r="D148" s="129" t="s">
        <v>180</v>
      </c>
      <c r="E148" s="130" t="s">
        <v>3812</v>
      </c>
      <c r="F148" s="131" t="s">
        <v>3813</v>
      </c>
      <c r="G148" s="132" t="s">
        <v>332</v>
      </c>
      <c r="H148" s="133">
        <v>34.7</v>
      </c>
      <c r="I148" s="134"/>
      <c r="J148" s="135">
        <f>ROUND(I148*H148,2)</f>
        <v>0</v>
      </c>
      <c r="K148" s="131" t="s">
        <v>184</v>
      </c>
      <c r="L148" s="33"/>
      <c r="M148" s="136" t="s">
        <v>3</v>
      </c>
      <c r="N148" s="137" t="s">
        <v>48</v>
      </c>
      <c r="P148" s="138">
        <f>O148*H148</f>
        <v>0</v>
      </c>
      <c r="Q148" s="138">
        <v>0.297948</v>
      </c>
      <c r="R148" s="138">
        <f>Q148*H148</f>
        <v>10.338795600000001</v>
      </c>
      <c r="S148" s="138">
        <v>0</v>
      </c>
      <c r="T148" s="139">
        <f>S148*H148</f>
        <v>0</v>
      </c>
      <c r="AR148" s="140" t="s">
        <v>185</v>
      </c>
      <c r="AT148" s="140" t="s">
        <v>180</v>
      </c>
      <c r="AU148" s="140" t="s">
        <v>87</v>
      </c>
      <c r="AY148" s="18" t="s">
        <v>177</v>
      </c>
      <c r="BE148" s="141">
        <f>IF(N148="základní",J148,0)</f>
        <v>0</v>
      </c>
      <c r="BF148" s="141">
        <f>IF(N148="snížená",J148,0)</f>
        <v>0</v>
      </c>
      <c r="BG148" s="141">
        <f>IF(N148="zákl. přenesená",J148,0)</f>
        <v>0</v>
      </c>
      <c r="BH148" s="141">
        <f>IF(N148="sníž. přenesená",J148,0)</f>
        <v>0</v>
      </c>
      <c r="BI148" s="141">
        <f>IF(N148="nulová",J148,0)</f>
        <v>0</v>
      </c>
      <c r="BJ148" s="18" t="s">
        <v>85</v>
      </c>
      <c r="BK148" s="141">
        <f>ROUND(I148*H148,2)</f>
        <v>0</v>
      </c>
      <c r="BL148" s="18" t="s">
        <v>185</v>
      </c>
      <c r="BM148" s="140" t="s">
        <v>3814</v>
      </c>
    </row>
    <row r="149" spans="2:47" s="1" customFormat="1" ht="29.25">
      <c r="B149" s="33"/>
      <c r="D149" s="142" t="s">
        <v>187</v>
      </c>
      <c r="F149" s="143" t="s">
        <v>3815</v>
      </c>
      <c r="I149" s="144"/>
      <c r="L149" s="33"/>
      <c r="M149" s="145"/>
      <c r="T149" s="54"/>
      <c r="AT149" s="18" t="s">
        <v>187</v>
      </c>
      <c r="AU149" s="18" t="s">
        <v>87</v>
      </c>
    </row>
    <row r="150" spans="2:47" s="1" customFormat="1" ht="11.25">
      <c r="B150" s="33"/>
      <c r="D150" s="146" t="s">
        <v>189</v>
      </c>
      <c r="F150" s="147" t="s">
        <v>3816</v>
      </c>
      <c r="I150" s="144"/>
      <c r="L150" s="33"/>
      <c r="M150" s="145"/>
      <c r="T150" s="54"/>
      <c r="AT150" s="18" t="s">
        <v>189</v>
      </c>
      <c r="AU150" s="18" t="s">
        <v>87</v>
      </c>
    </row>
    <row r="151" spans="2:51" s="12" customFormat="1" ht="11.25">
      <c r="B151" s="149"/>
      <c r="D151" s="142" t="s">
        <v>193</v>
      </c>
      <c r="E151" s="150" t="s">
        <v>3</v>
      </c>
      <c r="F151" s="151" t="s">
        <v>3817</v>
      </c>
      <c r="H151" s="152">
        <v>34.7</v>
      </c>
      <c r="I151" s="153"/>
      <c r="L151" s="149"/>
      <c r="M151" s="154"/>
      <c r="T151" s="155"/>
      <c r="AT151" s="150" t="s">
        <v>193</v>
      </c>
      <c r="AU151" s="150" t="s">
        <v>87</v>
      </c>
      <c r="AV151" s="12" t="s">
        <v>87</v>
      </c>
      <c r="AW151" s="12" t="s">
        <v>36</v>
      </c>
      <c r="AX151" s="12" t="s">
        <v>85</v>
      </c>
      <c r="AY151" s="150" t="s">
        <v>177</v>
      </c>
    </row>
    <row r="152" spans="2:65" s="1" customFormat="1" ht="24.2" customHeight="1">
      <c r="B152" s="128"/>
      <c r="C152" s="129" t="s">
        <v>302</v>
      </c>
      <c r="D152" s="129" t="s">
        <v>180</v>
      </c>
      <c r="E152" s="130" t="s">
        <v>3818</v>
      </c>
      <c r="F152" s="131" t="s">
        <v>3819</v>
      </c>
      <c r="G152" s="132" t="s">
        <v>476</v>
      </c>
      <c r="H152" s="133">
        <v>39.7</v>
      </c>
      <c r="I152" s="134"/>
      <c r="J152" s="135">
        <f>ROUND(I152*H152,2)</f>
        <v>0</v>
      </c>
      <c r="K152" s="131" t="s">
        <v>184</v>
      </c>
      <c r="L152" s="33"/>
      <c r="M152" s="136" t="s">
        <v>3</v>
      </c>
      <c r="N152" s="137" t="s">
        <v>48</v>
      </c>
      <c r="P152" s="138">
        <f>O152*H152</f>
        <v>0</v>
      </c>
      <c r="Q152" s="138">
        <v>0.0018</v>
      </c>
      <c r="R152" s="138">
        <f>Q152*H152</f>
        <v>0.07146000000000001</v>
      </c>
      <c r="S152" s="138">
        <v>0</v>
      </c>
      <c r="T152" s="139">
        <f>S152*H152</f>
        <v>0</v>
      </c>
      <c r="AR152" s="140" t="s">
        <v>185</v>
      </c>
      <c r="AT152" s="140" t="s">
        <v>180</v>
      </c>
      <c r="AU152" s="140" t="s">
        <v>87</v>
      </c>
      <c r="AY152" s="18" t="s">
        <v>177</v>
      </c>
      <c r="BE152" s="141">
        <f>IF(N152="základní",J152,0)</f>
        <v>0</v>
      </c>
      <c r="BF152" s="141">
        <f>IF(N152="snížená",J152,0)</f>
        <v>0</v>
      </c>
      <c r="BG152" s="141">
        <f>IF(N152="zákl. přenesená",J152,0)</f>
        <v>0</v>
      </c>
      <c r="BH152" s="141">
        <f>IF(N152="sníž. přenesená",J152,0)</f>
        <v>0</v>
      </c>
      <c r="BI152" s="141">
        <f>IF(N152="nulová",J152,0)</f>
        <v>0</v>
      </c>
      <c r="BJ152" s="18" t="s">
        <v>85</v>
      </c>
      <c r="BK152" s="141">
        <f>ROUND(I152*H152,2)</f>
        <v>0</v>
      </c>
      <c r="BL152" s="18" t="s">
        <v>185</v>
      </c>
      <c r="BM152" s="140" t="s">
        <v>3820</v>
      </c>
    </row>
    <row r="153" spans="2:47" s="1" customFormat="1" ht="29.25">
      <c r="B153" s="33"/>
      <c r="D153" s="142" t="s">
        <v>187</v>
      </c>
      <c r="F153" s="143" t="s">
        <v>3821</v>
      </c>
      <c r="I153" s="144"/>
      <c r="L153" s="33"/>
      <c r="M153" s="145"/>
      <c r="T153" s="54"/>
      <c r="AT153" s="18" t="s">
        <v>187</v>
      </c>
      <c r="AU153" s="18" t="s">
        <v>87</v>
      </c>
    </row>
    <row r="154" spans="2:47" s="1" customFormat="1" ht="11.25">
      <c r="B154" s="33"/>
      <c r="D154" s="146" t="s">
        <v>189</v>
      </c>
      <c r="F154" s="147" t="s">
        <v>3822</v>
      </c>
      <c r="I154" s="144"/>
      <c r="L154" s="33"/>
      <c r="M154" s="145"/>
      <c r="T154" s="54"/>
      <c r="AT154" s="18" t="s">
        <v>189</v>
      </c>
      <c r="AU154" s="18" t="s">
        <v>87</v>
      </c>
    </row>
    <row r="155" spans="2:65" s="1" customFormat="1" ht="24.2" customHeight="1">
      <c r="B155" s="128"/>
      <c r="C155" s="129" t="s">
        <v>315</v>
      </c>
      <c r="D155" s="129" t="s">
        <v>180</v>
      </c>
      <c r="E155" s="130" t="s">
        <v>3823</v>
      </c>
      <c r="F155" s="131" t="s">
        <v>3824</v>
      </c>
      <c r="G155" s="132" t="s">
        <v>476</v>
      </c>
      <c r="H155" s="133">
        <v>52.3</v>
      </c>
      <c r="I155" s="134"/>
      <c r="J155" s="135">
        <f>ROUND(I155*H155,2)</f>
        <v>0</v>
      </c>
      <c r="K155" s="131" t="s">
        <v>184</v>
      </c>
      <c r="L155" s="33"/>
      <c r="M155" s="136" t="s">
        <v>3</v>
      </c>
      <c r="N155" s="137" t="s">
        <v>48</v>
      </c>
      <c r="P155" s="138">
        <f>O155*H155</f>
        <v>0</v>
      </c>
      <c r="Q155" s="138">
        <v>0.128946</v>
      </c>
      <c r="R155" s="138">
        <f>Q155*H155</f>
        <v>6.7438758</v>
      </c>
      <c r="S155" s="138">
        <v>0</v>
      </c>
      <c r="T155" s="139">
        <f>S155*H155</f>
        <v>0</v>
      </c>
      <c r="AR155" s="140" t="s">
        <v>185</v>
      </c>
      <c r="AT155" s="140" t="s">
        <v>180</v>
      </c>
      <c r="AU155" s="140" t="s">
        <v>87</v>
      </c>
      <c r="AY155" s="18" t="s">
        <v>177</v>
      </c>
      <c r="BE155" s="141">
        <f>IF(N155="základní",J155,0)</f>
        <v>0</v>
      </c>
      <c r="BF155" s="141">
        <f>IF(N155="snížená",J155,0)</f>
        <v>0</v>
      </c>
      <c r="BG155" s="141">
        <f>IF(N155="zákl. přenesená",J155,0)</f>
        <v>0</v>
      </c>
      <c r="BH155" s="141">
        <f>IF(N155="sníž. přenesená",J155,0)</f>
        <v>0</v>
      </c>
      <c r="BI155" s="141">
        <f>IF(N155="nulová",J155,0)</f>
        <v>0</v>
      </c>
      <c r="BJ155" s="18" t="s">
        <v>85</v>
      </c>
      <c r="BK155" s="141">
        <f>ROUND(I155*H155,2)</f>
        <v>0</v>
      </c>
      <c r="BL155" s="18" t="s">
        <v>185</v>
      </c>
      <c r="BM155" s="140" t="s">
        <v>3825</v>
      </c>
    </row>
    <row r="156" spans="2:47" s="1" customFormat="1" ht="19.5">
      <c r="B156" s="33"/>
      <c r="D156" s="142" t="s">
        <v>187</v>
      </c>
      <c r="F156" s="143" t="s">
        <v>3826</v>
      </c>
      <c r="I156" s="144"/>
      <c r="L156" s="33"/>
      <c r="M156" s="145"/>
      <c r="T156" s="54"/>
      <c r="AT156" s="18" t="s">
        <v>187</v>
      </c>
      <c r="AU156" s="18" t="s">
        <v>87</v>
      </c>
    </row>
    <row r="157" spans="2:47" s="1" customFormat="1" ht="11.25">
      <c r="B157" s="33"/>
      <c r="D157" s="146" t="s">
        <v>189</v>
      </c>
      <c r="F157" s="147" t="s">
        <v>3827</v>
      </c>
      <c r="I157" s="144"/>
      <c r="L157" s="33"/>
      <c r="M157" s="145"/>
      <c r="T157" s="54"/>
      <c r="AT157" s="18" t="s">
        <v>189</v>
      </c>
      <c r="AU157" s="18" t="s">
        <v>87</v>
      </c>
    </row>
    <row r="158" spans="2:51" s="12" customFormat="1" ht="11.25">
      <c r="B158" s="149"/>
      <c r="D158" s="142" t="s">
        <v>193</v>
      </c>
      <c r="E158" s="150" t="s">
        <v>3</v>
      </c>
      <c r="F158" s="151" t="s">
        <v>3828</v>
      </c>
      <c r="H158" s="152">
        <v>52.3</v>
      </c>
      <c r="I158" s="153"/>
      <c r="L158" s="149"/>
      <c r="M158" s="154"/>
      <c r="T158" s="155"/>
      <c r="AT158" s="150" t="s">
        <v>193</v>
      </c>
      <c r="AU158" s="150" t="s">
        <v>87</v>
      </c>
      <c r="AV158" s="12" t="s">
        <v>87</v>
      </c>
      <c r="AW158" s="12" t="s">
        <v>36</v>
      </c>
      <c r="AX158" s="12" t="s">
        <v>85</v>
      </c>
      <c r="AY158" s="150" t="s">
        <v>177</v>
      </c>
    </row>
    <row r="159" spans="2:63" s="11" customFormat="1" ht="22.9" customHeight="1">
      <c r="B159" s="116"/>
      <c r="D159" s="117" t="s">
        <v>76</v>
      </c>
      <c r="E159" s="126" t="s">
        <v>518</v>
      </c>
      <c r="F159" s="126" t="s">
        <v>519</v>
      </c>
      <c r="I159" s="119"/>
      <c r="J159" s="127">
        <f>BK159</f>
        <v>0</v>
      </c>
      <c r="L159" s="116"/>
      <c r="M159" s="121"/>
      <c r="P159" s="122">
        <f>SUM(P160:P163)</f>
        <v>0</v>
      </c>
      <c r="R159" s="122">
        <f>SUM(R160:R163)</f>
        <v>0</v>
      </c>
      <c r="T159" s="123">
        <f>SUM(T160:T163)</f>
        <v>0</v>
      </c>
      <c r="AR159" s="117" t="s">
        <v>85</v>
      </c>
      <c r="AT159" s="124" t="s">
        <v>76</v>
      </c>
      <c r="AU159" s="124" t="s">
        <v>85</v>
      </c>
      <c r="AY159" s="117" t="s">
        <v>177</v>
      </c>
      <c r="BK159" s="125">
        <f>SUM(BK160:BK163)</f>
        <v>0</v>
      </c>
    </row>
    <row r="160" spans="2:65" s="1" customFormat="1" ht="24.2" customHeight="1">
      <c r="B160" s="128"/>
      <c r="C160" s="129" t="s">
        <v>461</v>
      </c>
      <c r="D160" s="129" t="s">
        <v>180</v>
      </c>
      <c r="E160" s="130" t="s">
        <v>3829</v>
      </c>
      <c r="F160" s="131" t="s">
        <v>3830</v>
      </c>
      <c r="G160" s="132" t="s">
        <v>183</v>
      </c>
      <c r="H160" s="133">
        <v>293.394</v>
      </c>
      <c r="I160" s="134"/>
      <c r="J160" s="135">
        <f>ROUND(I160*H160,2)</f>
        <v>0</v>
      </c>
      <c r="K160" s="131" t="s">
        <v>184</v>
      </c>
      <c r="L160" s="33"/>
      <c r="M160" s="136" t="s">
        <v>3</v>
      </c>
      <c r="N160" s="137" t="s">
        <v>48</v>
      </c>
      <c r="P160" s="138">
        <f>O160*H160</f>
        <v>0</v>
      </c>
      <c r="Q160" s="138">
        <v>0</v>
      </c>
      <c r="R160" s="138">
        <f>Q160*H160</f>
        <v>0</v>
      </c>
      <c r="S160" s="138">
        <v>0</v>
      </c>
      <c r="T160" s="139">
        <f>S160*H160</f>
        <v>0</v>
      </c>
      <c r="AR160" s="140" t="s">
        <v>185</v>
      </c>
      <c r="AT160" s="140" t="s">
        <v>180</v>
      </c>
      <c r="AU160" s="140" t="s">
        <v>87</v>
      </c>
      <c r="AY160" s="18" t="s">
        <v>177</v>
      </c>
      <c r="BE160" s="141">
        <f>IF(N160="základní",J160,0)</f>
        <v>0</v>
      </c>
      <c r="BF160" s="141">
        <f>IF(N160="snížená",J160,0)</f>
        <v>0</v>
      </c>
      <c r="BG160" s="141">
        <f>IF(N160="zákl. přenesená",J160,0)</f>
        <v>0</v>
      </c>
      <c r="BH160" s="141">
        <f>IF(N160="sníž. přenesená",J160,0)</f>
        <v>0</v>
      </c>
      <c r="BI160" s="141">
        <f>IF(N160="nulová",J160,0)</f>
        <v>0</v>
      </c>
      <c r="BJ160" s="18" t="s">
        <v>85</v>
      </c>
      <c r="BK160" s="141">
        <f>ROUND(I160*H160,2)</f>
        <v>0</v>
      </c>
      <c r="BL160" s="18" t="s">
        <v>185</v>
      </c>
      <c r="BM160" s="140" t="s">
        <v>3831</v>
      </c>
    </row>
    <row r="161" spans="2:47" s="1" customFormat="1" ht="29.25">
      <c r="B161" s="33"/>
      <c r="D161" s="142" t="s">
        <v>187</v>
      </c>
      <c r="F161" s="143" t="s">
        <v>3832</v>
      </c>
      <c r="I161" s="144"/>
      <c r="L161" s="33"/>
      <c r="M161" s="145"/>
      <c r="T161" s="54"/>
      <c r="AT161" s="18" t="s">
        <v>187</v>
      </c>
      <c r="AU161" s="18" t="s">
        <v>87</v>
      </c>
    </row>
    <row r="162" spans="2:47" s="1" customFormat="1" ht="11.25">
      <c r="B162" s="33"/>
      <c r="D162" s="146" t="s">
        <v>189</v>
      </c>
      <c r="F162" s="147" t="s">
        <v>3833</v>
      </c>
      <c r="I162" s="144"/>
      <c r="L162" s="33"/>
      <c r="M162" s="145"/>
      <c r="T162" s="54"/>
      <c r="AT162" s="18" t="s">
        <v>189</v>
      </c>
      <c r="AU162" s="18" t="s">
        <v>87</v>
      </c>
    </row>
    <row r="163" spans="2:47" s="1" customFormat="1" ht="87.75">
      <c r="B163" s="33"/>
      <c r="D163" s="142" t="s">
        <v>191</v>
      </c>
      <c r="F163" s="148" t="s">
        <v>526</v>
      </c>
      <c r="I163" s="144"/>
      <c r="L163" s="33"/>
      <c r="M163" s="189"/>
      <c r="N163" s="190"/>
      <c r="O163" s="190"/>
      <c r="P163" s="190"/>
      <c r="Q163" s="190"/>
      <c r="R163" s="190"/>
      <c r="S163" s="190"/>
      <c r="T163" s="191"/>
      <c r="AT163" s="18" t="s">
        <v>191</v>
      </c>
      <c r="AU163" s="18" t="s">
        <v>87</v>
      </c>
    </row>
    <row r="164" spans="2:12" s="1" customFormat="1" ht="6.95" customHeight="1">
      <c r="B164" s="42"/>
      <c r="C164" s="43"/>
      <c r="D164" s="43"/>
      <c r="E164" s="43"/>
      <c r="F164" s="43"/>
      <c r="G164" s="43"/>
      <c r="H164" s="43"/>
      <c r="I164" s="43"/>
      <c r="J164" s="43"/>
      <c r="K164" s="43"/>
      <c r="L164" s="33"/>
    </row>
  </sheetData>
  <autoFilter ref="C83:K163"/>
  <mergeCells count="9">
    <mergeCell ref="E50:H50"/>
    <mergeCell ref="E74:H74"/>
    <mergeCell ref="E76:H76"/>
    <mergeCell ref="L2:V2"/>
    <mergeCell ref="E7:H7"/>
    <mergeCell ref="E9:H9"/>
    <mergeCell ref="E18:H18"/>
    <mergeCell ref="E27:H27"/>
    <mergeCell ref="E48:H48"/>
  </mergeCells>
  <hyperlinks>
    <hyperlink ref="F89" r:id="rId1" display="https://podminky.urs.cz/item/CS_URS_2022_02/162251122"/>
    <hyperlink ref="F93" r:id="rId2" display="https://podminky.urs.cz/item/CS_URS_2022_02/162751117"/>
    <hyperlink ref="F97" r:id="rId3" display="https://podminky.urs.cz/item/CS_URS_2022_02/162751119"/>
    <hyperlink ref="F102" r:id="rId4" display="https://podminky.urs.cz/item/CS_URS_2022_02/167151111"/>
    <hyperlink ref="F109" r:id="rId5" display="https://podminky.urs.cz/item/CS_URS_2022_02/167151112"/>
    <hyperlink ref="F113" r:id="rId6" display="https://podminky.urs.cz/item/CS_URS_2022_02/171151112"/>
    <hyperlink ref="F119" r:id="rId7" display="https://podminky.urs.cz/item/CS_URS_2022_02/181351103"/>
    <hyperlink ref="F123" r:id="rId8" display="https://podminky.urs.cz/item/CS_URS_2022_02/181411131"/>
    <hyperlink ref="F130" r:id="rId9" display="https://podminky.urs.cz/item/CS_URS_2022_02/181951112"/>
    <hyperlink ref="F134" r:id="rId10" display="https://podminky.urs.cz/item/CS_URS_2022_02/181951114"/>
    <hyperlink ref="F139" r:id="rId11" display="https://podminky.urs.cz/item/CS_URS_2022_02/564851111"/>
    <hyperlink ref="F142" r:id="rId12" display="https://podminky.urs.cz/item/CS_URS_2022_02/564931212"/>
    <hyperlink ref="F146" r:id="rId13" display="https://podminky.urs.cz/item/CS_URS_2022_02/564961215"/>
    <hyperlink ref="F150" r:id="rId14" display="https://podminky.urs.cz/item/CS_URS_2022_02/637211311"/>
    <hyperlink ref="F154" r:id="rId15" display="https://podminky.urs.cz/item/CS_URS_2022_02/637211911"/>
    <hyperlink ref="F157" r:id="rId16" display="https://podminky.urs.cz/item/CS_URS_2022_02/637311131"/>
    <hyperlink ref="F162" r:id="rId17" display="https://podminky.urs.cz/item/CS_URS_2022_02/998017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10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132</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3834</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ROUND(J82,2)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ROUND((SUM(BE82:BE100)),2)</f>
        <v>0</v>
      </c>
      <c r="I33" s="90">
        <v>0.21</v>
      </c>
      <c r="J33" s="89">
        <f>ROUND(((SUM(BE82:BE100))*I33),2)</f>
        <v>0</v>
      </c>
      <c r="L33" s="33"/>
    </row>
    <row r="34" spans="2:12" s="1" customFormat="1" ht="14.45" customHeight="1">
      <c r="B34" s="33"/>
      <c r="E34" s="28" t="s">
        <v>49</v>
      </c>
      <c r="F34" s="89">
        <f>ROUND((SUM(BF82:BF100)),2)</f>
        <v>0</v>
      </c>
      <c r="I34" s="90">
        <v>0.15</v>
      </c>
      <c r="J34" s="89">
        <f>ROUND(((SUM(BF82:BF100))*I34),2)</f>
        <v>0</v>
      </c>
      <c r="L34" s="33"/>
    </row>
    <row r="35" spans="2:12" s="1" customFormat="1" ht="14.45" customHeight="1" hidden="1">
      <c r="B35" s="33"/>
      <c r="E35" s="28" t="s">
        <v>50</v>
      </c>
      <c r="F35" s="89">
        <f>ROUND((SUM(BG82:BG100)),2)</f>
        <v>0</v>
      </c>
      <c r="I35" s="90">
        <v>0.21</v>
      </c>
      <c r="J35" s="89">
        <f>0</f>
        <v>0</v>
      </c>
      <c r="L35" s="33"/>
    </row>
    <row r="36" spans="2:12" s="1" customFormat="1" ht="14.45" customHeight="1" hidden="1">
      <c r="B36" s="33"/>
      <c r="E36" s="28" t="s">
        <v>51</v>
      </c>
      <c r="F36" s="89">
        <f>ROUND((SUM(BH82:BH100)),2)</f>
        <v>0</v>
      </c>
      <c r="I36" s="90">
        <v>0.15</v>
      </c>
      <c r="J36" s="89">
        <f>0</f>
        <v>0</v>
      </c>
      <c r="L36" s="33"/>
    </row>
    <row r="37" spans="2:12" s="1" customFormat="1" ht="14.45" customHeight="1" hidden="1">
      <c r="B37" s="33"/>
      <c r="E37" s="28" t="s">
        <v>52</v>
      </c>
      <c r="F37" s="89">
        <f>ROUND((SUM(BI82:BI100)),2)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SO 2 - UT</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J82</f>
        <v>0</v>
      </c>
      <c r="L59" s="33"/>
      <c r="AU59" s="18" t="s">
        <v>152</v>
      </c>
    </row>
    <row r="60" spans="2:12" s="8" customFormat="1" ht="24.95" customHeight="1">
      <c r="B60" s="100"/>
      <c r="D60" s="101" t="s">
        <v>155</v>
      </c>
      <c r="E60" s="102"/>
      <c r="F60" s="102"/>
      <c r="G60" s="102"/>
      <c r="H60" s="102"/>
      <c r="I60" s="102"/>
      <c r="J60" s="103">
        <f>J83</f>
        <v>0</v>
      </c>
      <c r="L60" s="100"/>
    </row>
    <row r="61" spans="2:12" s="9" customFormat="1" ht="19.9" customHeight="1">
      <c r="B61" s="104"/>
      <c r="D61" s="105" t="s">
        <v>3835</v>
      </c>
      <c r="E61" s="106"/>
      <c r="F61" s="106"/>
      <c r="G61" s="106"/>
      <c r="H61" s="106"/>
      <c r="I61" s="106"/>
      <c r="J61" s="107">
        <f>J84</f>
        <v>0</v>
      </c>
      <c r="L61" s="104"/>
    </row>
    <row r="62" spans="2:12" s="8" customFormat="1" ht="24.95" customHeight="1">
      <c r="B62" s="100"/>
      <c r="D62" s="101" t="s">
        <v>161</v>
      </c>
      <c r="E62" s="102"/>
      <c r="F62" s="102"/>
      <c r="G62" s="102"/>
      <c r="H62" s="102"/>
      <c r="I62" s="102"/>
      <c r="J62" s="103">
        <f>J95</f>
        <v>0</v>
      </c>
      <c r="L62" s="100"/>
    </row>
    <row r="63" spans="2:12" s="1" customFormat="1" ht="21.75" customHeight="1">
      <c r="B63" s="33"/>
      <c r="L63" s="33"/>
    </row>
    <row r="64" spans="2:12" s="1" customFormat="1" ht="6.95" customHeight="1">
      <c r="B64" s="42"/>
      <c r="C64" s="43"/>
      <c r="D64" s="43"/>
      <c r="E64" s="43"/>
      <c r="F64" s="43"/>
      <c r="G64" s="43"/>
      <c r="H64" s="43"/>
      <c r="I64" s="43"/>
      <c r="J64" s="43"/>
      <c r="K64" s="43"/>
      <c r="L64" s="33"/>
    </row>
    <row r="68" spans="2:12" s="1" customFormat="1" ht="6.95" customHeight="1">
      <c r="B68" s="44"/>
      <c r="C68" s="45"/>
      <c r="D68" s="45"/>
      <c r="E68" s="45"/>
      <c r="F68" s="45"/>
      <c r="G68" s="45"/>
      <c r="H68" s="45"/>
      <c r="I68" s="45"/>
      <c r="J68" s="45"/>
      <c r="K68" s="45"/>
      <c r="L68" s="33"/>
    </row>
    <row r="69" spans="2:12" s="1" customFormat="1" ht="24.95" customHeight="1">
      <c r="B69" s="33"/>
      <c r="C69" s="22" t="s">
        <v>162</v>
      </c>
      <c r="L69" s="33"/>
    </row>
    <row r="70" spans="2:12" s="1" customFormat="1" ht="6.95" customHeight="1">
      <c r="B70" s="33"/>
      <c r="L70" s="33"/>
    </row>
    <row r="71" spans="2:12" s="1" customFormat="1" ht="12" customHeight="1">
      <c r="B71" s="33"/>
      <c r="C71" s="28" t="s">
        <v>17</v>
      </c>
      <c r="L71" s="33"/>
    </row>
    <row r="72" spans="2:12" s="1" customFormat="1" ht="16.5" customHeight="1">
      <c r="B72" s="33"/>
      <c r="E72" s="315" t="str">
        <f>E7</f>
        <v>ZŠ P. HOLÉHO - PŘESTAVBA PLAVECKÉHO PAVILONU</v>
      </c>
      <c r="F72" s="316"/>
      <c r="G72" s="316"/>
      <c r="H72" s="316"/>
      <c r="L72" s="33"/>
    </row>
    <row r="73" spans="2:12" s="1" customFormat="1" ht="12" customHeight="1">
      <c r="B73" s="33"/>
      <c r="C73" s="28" t="s">
        <v>146</v>
      </c>
      <c r="L73" s="33"/>
    </row>
    <row r="74" spans="2:12" s="1" customFormat="1" ht="16.5" customHeight="1">
      <c r="B74" s="33"/>
      <c r="E74" s="281" t="str">
        <f>E9</f>
        <v>SO 2 - UT</v>
      </c>
      <c r="F74" s="317"/>
      <c r="G74" s="317"/>
      <c r="H74" s="317"/>
      <c r="L74" s="33"/>
    </row>
    <row r="75" spans="2:12" s="1" customFormat="1" ht="6.95" customHeight="1">
      <c r="B75" s="33"/>
      <c r="L75" s="33"/>
    </row>
    <row r="76" spans="2:12" s="1" customFormat="1" ht="12" customHeight="1">
      <c r="B76" s="33"/>
      <c r="C76" s="28" t="s">
        <v>21</v>
      </c>
      <c r="F76" s="26" t="str">
        <f>F12</f>
        <v>Prokopa Holého 2632, Louny, 440 01</v>
      </c>
      <c r="I76" s="28" t="s">
        <v>23</v>
      </c>
      <c r="J76" s="50" t="str">
        <f>IF(J12="","",J12)</f>
        <v>21. 9. 2022</v>
      </c>
      <c r="L76" s="33"/>
    </row>
    <row r="77" spans="2:12" s="1" customFormat="1" ht="6.95" customHeight="1">
      <c r="B77" s="33"/>
      <c r="L77" s="33"/>
    </row>
    <row r="78" spans="2:12" s="1" customFormat="1" ht="15.2" customHeight="1">
      <c r="B78" s="33"/>
      <c r="C78" s="28" t="s">
        <v>25</v>
      </c>
      <c r="F78" s="26" t="str">
        <f>E15</f>
        <v>Město Louny</v>
      </c>
      <c r="I78" s="28" t="s">
        <v>32</v>
      </c>
      <c r="J78" s="31" t="str">
        <f>E21</f>
        <v>RYSIK Design s.r.o.</v>
      </c>
      <c r="L78" s="33"/>
    </row>
    <row r="79" spans="2:12" s="1" customFormat="1" ht="25.7" customHeight="1">
      <c r="B79" s="33"/>
      <c r="C79" s="28" t="s">
        <v>30</v>
      </c>
      <c r="F79" s="26" t="str">
        <f>IF(E18="","",E18)</f>
        <v>Vyplň údaj</v>
      </c>
      <c r="I79" s="28" t="s">
        <v>37</v>
      </c>
      <c r="J79" s="31" t="str">
        <f>E24</f>
        <v>ing. Kateřina Tumpachová</v>
      </c>
      <c r="L79" s="33"/>
    </row>
    <row r="80" spans="2:12" s="1" customFormat="1" ht="10.35" customHeight="1">
      <c r="B80" s="33"/>
      <c r="L80" s="33"/>
    </row>
    <row r="81" spans="2:20" s="10" customFormat="1" ht="29.25" customHeight="1">
      <c r="B81" s="108"/>
      <c r="C81" s="109" t="s">
        <v>163</v>
      </c>
      <c r="D81" s="110" t="s">
        <v>62</v>
      </c>
      <c r="E81" s="110" t="s">
        <v>58</v>
      </c>
      <c r="F81" s="110" t="s">
        <v>59</v>
      </c>
      <c r="G81" s="110" t="s">
        <v>164</v>
      </c>
      <c r="H81" s="110" t="s">
        <v>165</v>
      </c>
      <c r="I81" s="110" t="s">
        <v>166</v>
      </c>
      <c r="J81" s="110" t="s">
        <v>151</v>
      </c>
      <c r="K81" s="111" t="s">
        <v>167</v>
      </c>
      <c r="L81" s="108"/>
      <c r="M81" s="57" t="s">
        <v>3</v>
      </c>
      <c r="N81" s="58" t="s">
        <v>47</v>
      </c>
      <c r="O81" s="58" t="s">
        <v>168</v>
      </c>
      <c r="P81" s="58" t="s">
        <v>169</v>
      </c>
      <c r="Q81" s="58" t="s">
        <v>170</v>
      </c>
      <c r="R81" s="58" t="s">
        <v>171</v>
      </c>
      <c r="S81" s="58" t="s">
        <v>172</v>
      </c>
      <c r="T81" s="59" t="s">
        <v>173</v>
      </c>
    </row>
    <row r="82" spans="2:63" s="1" customFormat="1" ht="22.9" customHeight="1">
      <c r="B82" s="33"/>
      <c r="C82" s="62" t="s">
        <v>174</v>
      </c>
      <c r="J82" s="112">
        <f>BK82</f>
        <v>0</v>
      </c>
      <c r="L82" s="33"/>
      <c r="M82" s="60"/>
      <c r="N82" s="51"/>
      <c r="O82" s="51"/>
      <c r="P82" s="113">
        <f>P83+P95</f>
        <v>0</v>
      </c>
      <c r="Q82" s="51"/>
      <c r="R82" s="113">
        <f>R83+R95</f>
        <v>0</v>
      </c>
      <c r="S82" s="51"/>
      <c r="T82" s="114">
        <f>T83+T95</f>
        <v>0</v>
      </c>
      <c r="AT82" s="18" t="s">
        <v>76</v>
      </c>
      <c r="AU82" s="18" t="s">
        <v>152</v>
      </c>
      <c r="BK82" s="115">
        <f>BK83+BK95</f>
        <v>0</v>
      </c>
    </row>
    <row r="83" spans="2:63" s="11" customFormat="1" ht="25.9" customHeight="1">
      <c r="B83" s="116"/>
      <c r="D83" s="117" t="s">
        <v>76</v>
      </c>
      <c r="E83" s="118" t="s">
        <v>229</v>
      </c>
      <c r="F83" s="118" t="s">
        <v>230</v>
      </c>
      <c r="I83" s="119"/>
      <c r="J83" s="120">
        <f>BK83</f>
        <v>0</v>
      </c>
      <c r="L83" s="116"/>
      <c r="M83" s="121"/>
      <c r="P83" s="122">
        <f>P84</f>
        <v>0</v>
      </c>
      <c r="R83" s="122">
        <f>R84</f>
        <v>0</v>
      </c>
      <c r="T83" s="123">
        <f>T84</f>
        <v>0</v>
      </c>
      <c r="AR83" s="117" t="s">
        <v>87</v>
      </c>
      <c r="AT83" s="124" t="s">
        <v>76</v>
      </c>
      <c r="AU83" s="124" t="s">
        <v>77</v>
      </c>
      <c r="AY83" s="117" t="s">
        <v>177</v>
      </c>
      <c r="BK83" s="125">
        <f>BK84</f>
        <v>0</v>
      </c>
    </row>
    <row r="84" spans="2:63" s="11" customFormat="1" ht="22.9" customHeight="1">
      <c r="B84" s="116"/>
      <c r="D84" s="117" t="s">
        <v>76</v>
      </c>
      <c r="E84" s="126" t="s">
        <v>3836</v>
      </c>
      <c r="F84" s="126" t="s">
        <v>3837</v>
      </c>
      <c r="I84" s="119"/>
      <c r="J84" s="127">
        <f>BK84</f>
        <v>0</v>
      </c>
      <c r="L84" s="116"/>
      <c r="M84" s="121"/>
      <c r="P84" s="122">
        <f>SUM(P85:P94)</f>
        <v>0</v>
      </c>
      <c r="R84" s="122">
        <f>SUM(R85:R94)</f>
        <v>0</v>
      </c>
      <c r="T84" s="123">
        <f>SUM(T85:T94)</f>
        <v>0</v>
      </c>
      <c r="AR84" s="117" t="s">
        <v>87</v>
      </c>
      <c r="AT84" s="124" t="s">
        <v>76</v>
      </c>
      <c r="AU84" s="124" t="s">
        <v>85</v>
      </c>
      <c r="AY84" s="117" t="s">
        <v>177</v>
      </c>
      <c r="BK84" s="125">
        <f>SUM(BK85:BK94)</f>
        <v>0</v>
      </c>
    </row>
    <row r="85" spans="2:65" s="1" customFormat="1" ht="16.5" customHeight="1">
      <c r="B85" s="128"/>
      <c r="C85" s="129" t="s">
        <v>85</v>
      </c>
      <c r="D85" s="129" t="s">
        <v>180</v>
      </c>
      <c r="E85" s="130" t="s">
        <v>131</v>
      </c>
      <c r="F85" s="131" t="s">
        <v>3838</v>
      </c>
      <c r="G85" s="132" t="s">
        <v>243</v>
      </c>
      <c r="H85" s="133">
        <v>1</v>
      </c>
      <c r="I85" s="134"/>
      <c r="J85" s="135">
        <f>ROUND(I85*H85,2)</f>
        <v>0</v>
      </c>
      <c r="K85" s="131" t="s">
        <v>3</v>
      </c>
      <c r="L85" s="33"/>
      <c r="M85" s="136" t="s">
        <v>3</v>
      </c>
      <c r="N85" s="137" t="s">
        <v>48</v>
      </c>
      <c r="P85" s="138">
        <f>O85*H85</f>
        <v>0</v>
      </c>
      <c r="Q85" s="138">
        <v>0</v>
      </c>
      <c r="R85" s="138">
        <f>Q85*H85</f>
        <v>0</v>
      </c>
      <c r="S85" s="138">
        <v>0</v>
      </c>
      <c r="T85" s="139">
        <f>S85*H85</f>
        <v>0</v>
      </c>
      <c r="AR85" s="140" t="s">
        <v>237</v>
      </c>
      <c r="AT85" s="140" t="s">
        <v>180</v>
      </c>
      <c r="AU85" s="140" t="s">
        <v>87</v>
      </c>
      <c r="AY85" s="18" t="s">
        <v>177</v>
      </c>
      <c r="BE85" s="141">
        <f>IF(N85="základní",J85,0)</f>
        <v>0</v>
      </c>
      <c r="BF85" s="141">
        <f>IF(N85="snížená",J85,0)</f>
        <v>0</v>
      </c>
      <c r="BG85" s="141">
        <f>IF(N85="zákl. přenesená",J85,0)</f>
        <v>0</v>
      </c>
      <c r="BH85" s="141">
        <f>IF(N85="sníž. přenesená",J85,0)</f>
        <v>0</v>
      </c>
      <c r="BI85" s="141">
        <f>IF(N85="nulová",J85,0)</f>
        <v>0</v>
      </c>
      <c r="BJ85" s="18" t="s">
        <v>85</v>
      </c>
      <c r="BK85" s="141">
        <f>ROUND(I85*H85,2)</f>
        <v>0</v>
      </c>
      <c r="BL85" s="18" t="s">
        <v>237</v>
      </c>
      <c r="BM85" s="140" t="s">
        <v>3839</v>
      </c>
    </row>
    <row r="86" spans="2:47" s="1" customFormat="1" ht="11.25">
      <c r="B86" s="33"/>
      <c r="D86" s="142" t="s">
        <v>187</v>
      </c>
      <c r="F86" s="143" t="s">
        <v>3838</v>
      </c>
      <c r="I86" s="144"/>
      <c r="L86" s="33"/>
      <c r="M86" s="145"/>
      <c r="T86" s="54"/>
      <c r="AT86" s="18" t="s">
        <v>187</v>
      </c>
      <c r="AU86" s="18" t="s">
        <v>87</v>
      </c>
    </row>
    <row r="87" spans="2:65" s="1" customFormat="1" ht="16.5" customHeight="1">
      <c r="B87" s="128"/>
      <c r="C87" s="129" t="s">
        <v>87</v>
      </c>
      <c r="D87" s="129" t="s">
        <v>180</v>
      </c>
      <c r="E87" s="130" t="s">
        <v>3840</v>
      </c>
      <c r="F87" s="131" t="s">
        <v>3841</v>
      </c>
      <c r="G87" s="132" t="s">
        <v>243</v>
      </c>
      <c r="H87" s="133">
        <v>1</v>
      </c>
      <c r="I87" s="134"/>
      <c r="J87" s="135">
        <f>ROUND(I87*H87,2)</f>
        <v>0</v>
      </c>
      <c r="K87" s="131" t="s">
        <v>3</v>
      </c>
      <c r="L87" s="33"/>
      <c r="M87" s="136" t="s">
        <v>3</v>
      </c>
      <c r="N87" s="137" t="s">
        <v>48</v>
      </c>
      <c r="P87" s="138">
        <f>O87*H87</f>
        <v>0</v>
      </c>
      <c r="Q87" s="138">
        <v>0</v>
      </c>
      <c r="R87" s="138">
        <f>Q87*H87</f>
        <v>0</v>
      </c>
      <c r="S87" s="138">
        <v>0</v>
      </c>
      <c r="T87" s="139">
        <f>S87*H87</f>
        <v>0</v>
      </c>
      <c r="AR87" s="140" t="s">
        <v>237</v>
      </c>
      <c r="AT87" s="140" t="s">
        <v>180</v>
      </c>
      <c r="AU87" s="140" t="s">
        <v>87</v>
      </c>
      <c r="AY87" s="18" t="s">
        <v>177</v>
      </c>
      <c r="BE87" s="141">
        <f>IF(N87="základní",J87,0)</f>
        <v>0</v>
      </c>
      <c r="BF87" s="141">
        <f>IF(N87="snížená",J87,0)</f>
        <v>0</v>
      </c>
      <c r="BG87" s="141">
        <f>IF(N87="zákl. přenesená",J87,0)</f>
        <v>0</v>
      </c>
      <c r="BH87" s="141">
        <f>IF(N87="sníž. přenesená",J87,0)</f>
        <v>0</v>
      </c>
      <c r="BI87" s="141">
        <f>IF(N87="nulová",J87,0)</f>
        <v>0</v>
      </c>
      <c r="BJ87" s="18" t="s">
        <v>85</v>
      </c>
      <c r="BK87" s="141">
        <f>ROUND(I87*H87,2)</f>
        <v>0</v>
      </c>
      <c r="BL87" s="18" t="s">
        <v>237</v>
      </c>
      <c r="BM87" s="140" t="s">
        <v>3842</v>
      </c>
    </row>
    <row r="88" spans="2:47" s="1" customFormat="1" ht="11.25">
      <c r="B88" s="33"/>
      <c r="D88" s="142" t="s">
        <v>187</v>
      </c>
      <c r="F88" s="143" t="s">
        <v>3841</v>
      </c>
      <c r="I88" s="144"/>
      <c r="L88" s="33"/>
      <c r="M88" s="145"/>
      <c r="T88" s="54"/>
      <c r="AT88" s="18" t="s">
        <v>187</v>
      </c>
      <c r="AU88" s="18" t="s">
        <v>87</v>
      </c>
    </row>
    <row r="89" spans="2:65" s="1" customFormat="1" ht="21.75" customHeight="1">
      <c r="B89" s="128"/>
      <c r="C89" s="129" t="s">
        <v>198</v>
      </c>
      <c r="D89" s="129" t="s">
        <v>180</v>
      </c>
      <c r="E89" s="130" t="s">
        <v>3843</v>
      </c>
      <c r="F89" s="131" t="s">
        <v>3844</v>
      </c>
      <c r="G89" s="132" t="s">
        <v>236</v>
      </c>
      <c r="H89" s="133">
        <v>8</v>
      </c>
      <c r="I89" s="134"/>
      <c r="J89" s="135">
        <f>ROUND(I89*H89,2)</f>
        <v>0</v>
      </c>
      <c r="K89" s="131" t="s">
        <v>3</v>
      </c>
      <c r="L89" s="33"/>
      <c r="M89" s="136" t="s">
        <v>3</v>
      </c>
      <c r="N89" s="137" t="s">
        <v>48</v>
      </c>
      <c r="P89" s="138">
        <f>O89*H89</f>
        <v>0</v>
      </c>
      <c r="Q89" s="138">
        <v>0</v>
      </c>
      <c r="R89" s="138">
        <f>Q89*H89</f>
        <v>0</v>
      </c>
      <c r="S89" s="138">
        <v>0</v>
      </c>
      <c r="T89" s="139">
        <f>S89*H89</f>
        <v>0</v>
      </c>
      <c r="AR89" s="140" t="s">
        <v>237</v>
      </c>
      <c r="AT89" s="140" t="s">
        <v>180</v>
      </c>
      <c r="AU89" s="140" t="s">
        <v>87</v>
      </c>
      <c r="AY89" s="18" t="s">
        <v>177</v>
      </c>
      <c r="BE89" s="141">
        <f>IF(N89="základní",J89,0)</f>
        <v>0</v>
      </c>
      <c r="BF89" s="141">
        <f>IF(N89="snížená",J89,0)</f>
        <v>0</v>
      </c>
      <c r="BG89" s="141">
        <f>IF(N89="zákl. přenesená",J89,0)</f>
        <v>0</v>
      </c>
      <c r="BH89" s="141">
        <f>IF(N89="sníž. přenesená",J89,0)</f>
        <v>0</v>
      </c>
      <c r="BI89" s="141">
        <f>IF(N89="nulová",J89,0)</f>
        <v>0</v>
      </c>
      <c r="BJ89" s="18" t="s">
        <v>85</v>
      </c>
      <c r="BK89" s="141">
        <f>ROUND(I89*H89,2)</f>
        <v>0</v>
      </c>
      <c r="BL89" s="18" t="s">
        <v>237</v>
      </c>
      <c r="BM89" s="140" t="s">
        <v>3845</v>
      </c>
    </row>
    <row r="90" spans="2:47" s="1" customFormat="1" ht="11.25">
      <c r="B90" s="33"/>
      <c r="D90" s="142" t="s">
        <v>187</v>
      </c>
      <c r="F90" s="143" t="s">
        <v>3844</v>
      </c>
      <c r="I90" s="144"/>
      <c r="L90" s="33"/>
      <c r="M90" s="145"/>
      <c r="T90" s="54"/>
      <c r="AT90" s="18" t="s">
        <v>187</v>
      </c>
      <c r="AU90" s="18" t="s">
        <v>87</v>
      </c>
    </row>
    <row r="91" spans="2:65" s="1" customFormat="1" ht="24.2" customHeight="1">
      <c r="B91" s="128"/>
      <c r="C91" s="129" t="s">
        <v>185</v>
      </c>
      <c r="D91" s="129" t="s">
        <v>180</v>
      </c>
      <c r="E91" s="130" t="s">
        <v>3846</v>
      </c>
      <c r="F91" s="131" t="s">
        <v>3847</v>
      </c>
      <c r="G91" s="132" t="s">
        <v>236</v>
      </c>
      <c r="H91" s="133">
        <v>22</v>
      </c>
      <c r="I91" s="134"/>
      <c r="J91" s="135">
        <f>ROUND(I91*H91,2)</f>
        <v>0</v>
      </c>
      <c r="K91" s="131" t="s">
        <v>3</v>
      </c>
      <c r="L91" s="33"/>
      <c r="M91" s="136" t="s">
        <v>3</v>
      </c>
      <c r="N91" s="137" t="s">
        <v>48</v>
      </c>
      <c r="P91" s="138">
        <f>O91*H91</f>
        <v>0</v>
      </c>
      <c r="Q91" s="138">
        <v>0</v>
      </c>
      <c r="R91" s="138">
        <f>Q91*H91</f>
        <v>0</v>
      </c>
      <c r="S91" s="138">
        <v>0</v>
      </c>
      <c r="T91" s="139">
        <f>S91*H91</f>
        <v>0</v>
      </c>
      <c r="AR91" s="140" t="s">
        <v>237</v>
      </c>
      <c r="AT91" s="140" t="s">
        <v>180</v>
      </c>
      <c r="AU91" s="140" t="s">
        <v>87</v>
      </c>
      <c r="AY91" s="18" t="s">
        <v>177</v>
      </c>
      <c r="BE91" s="141">
        <f>IF(N91="základní",J91,0)</f>
        <v>0</v>
      </c>
      <c r="BF91" s="141">
        <f>IF(N91="snížená",J91,0)</f>
        <v>0</v>
      </c>
      <c r="BG91" s="141">
        <f>IF(N91="zákl. přenesená",J91,0)</f>
        <v>0</v>
      </c>
      <c r="BH91" s="141">
        <f>IF(N91="sníž. přenesená",J91,0)</f>
        <v>0</v>
      </c>
      <c r="BI91" s="141">
        <f>IF(N91="nulová",J91,0)</f>
        <v>0</v>
      </c>
      <c r="BJ91" s="18" t="s">
        <v>85</v>
      </c>
      <c r="BK91" s="141">
        <f>ROUND(I91*H91,2)</f>
        <v>0</v>
      </c>
      <c r="BL91" s="18" t="s">
        <v>237</v>
      </c>
      <c r="BM91" s="140" t="s">
        <v>3848</v>
      </c>
    </row>
    <row r="92" spans="2:47" s="1" customFormat="1" ht="11.25">
      <c r="B92" s="33"/>
      <c r="D92" s="142" t="s">
        <v>187</v>
      </c>
      <c r="F92" s="143" t="s">
        <v>3847</v>
      </c>
      <c r="I92" s="144"/>
      <c r="L92" s="33"/>
      <c r="M92" s="145"/>
      <c r="T92" s="54"/>
      <c r="AT92" s="18" t="s">
        <v>187</v>
      </c>
      <c r="AU92" s="18" t="s">
        <v>87</v>
      </c>
    </row>
    <row r="93" spans="2:65" s="1" customFormat="1" ht="16.5" customHeight="1">
      <c r="B93" s="128"/>
      <c r="C93" s="129" t="s">
        <v>200</v>
      </c>
      <c r="D93" s="129" t="s">
        <v>180</v>
      </c>
      <c r="E93" s="130" t="s">
        <v>3849</v>
      </c>
      <c r="F93" s="131" t="s">
        <v>3850</v>
      </c>
      <c r="G93" s="132" t="s">
        <v>243</v>
      </c>
      <c r="H93" s="133">
        <v>1</v>
      </c>
      <c r="I93" s="134"/>
      <c r="J93" s="135">
        <f>ROUND(I93*H93,2)</f>
        <v>0</v>
      </c>
      <c r="K93" s="131" t="s">
        <v>3</v>
      </c>
      <c r="L93" s="33"/>
      <c r="M93" s="136" t="s">
        <v>3</v>
      </c>
      <c r="N93" s="137" t="s">
        <v>48</v>
      </c>
      <c r="P93" s="138">
        <f>O93*H93</f>
        <v>0</v>
      </c>
      <c r="Q93" s="138">
        <v>0</v>
      </c>
      <c r="R93" s="138">
        <f>Q93*H93</f>
        <v>0</v>
      </c>
      <c r="S93" s="138">
        <v>0</v>
      </c>
      <c r="T93" s="139">
        <f>S93*H93</f>
        <v>0</v>
      </c>
      <c r="AR93" s="140" t="s">
        <v>237</v>
      </c>
      <c r="AT93" s="140" t="s">
        <v>180</v>
      </c>
      <c r="AU93" s="140" t="s">
        <v>87</v>
      </c>
      <c r="AY93" s="18" t="s">
        <v>177</v>
      </c>
      <c r="BE93" s="141">
        <f>IF(N93="základní",J93,0)</f>
        <v>0</v>
      </c>
      <c r="BF93" s="141">
        <f>IF(N93="snížená",J93,0)</f>
        <v>0</v>
      </c>
      <c r="BG93" s="141">
        <f>IF(N93="zákl. přenesená",J93,0)</f>
        <v>0</v>
      </c>
      <c r="BH93" s="141">
        <f>IF(N93="sníž. přenesená",J93,0)</f>
        <v>0</v>
      </c>
      <c r="BI93" s="141">
        <f>IF(N93="nulová",J93,0)</f>
        <v>0</v>
      </c>
      <c r="BJ93" s="18" t="s">
        <v>85</v>
      </c>
      <c r="BK93" s="141">
        <f>ROUND(I93*H93,2)</f>
        <v>0</v>
      </c>
      <c r="BL93" s="18" t="s">
        <v>237</v>
      </c>
      <c r="BM93" s="140" t="s">
        <v>3851</v>
      </c>
    </row>
    <row r="94" spans="2:47" s="1" customFormat="1" ht="11.25">
      <c r="B94" s="33"/>
      <c r="D94" s="142" t="s">
        <v>187</v>
      </c>
      <c r="F94" s="143" t="s">
        <v>3850</v>
      </c>
      <c r="I94" s="144"/>
      <c r="L94" s="33"/>
      <c r="M94" s="145"/>
      <c r="T94" s="54"/>
      <c r="AT94" s="18" t="s">
        <v>187</v>
      </c>
      <c r="AU94" s="18" t="s">
        <v>87</v>
      </c>
    </row>
    <row r="95" spans="2:63" s="11" customFormat="1" ht="25.9" customHeight="1">
      <c r="B95" s="116"/>
      <c r="D95" s="117" t="s">
        <v>76</v>
      </c>
      <c r="E95" s="118" t="s">
        <v>313</v>
      </c>
      <c r="F95" s="118" t="s">
        <v>314</v>
      </c>
      <c r="I95" s="119"/>
      <c r="J95" s="120">
        <f>BK95</f>
        <v>0</v>
      </c>
      <c r="L95" s="116"/>
      <c r="M95" s="121"/>
      <c r="P95" s="122">
        <f>SUM(P96:P100)</f>
        <v>0</v>
      </c>
      <c r="R95" s="122">
        <f>SUM(R96:R100)</f>
        <v>0</v>
      </c>
      <c r="T95" s="123">
        <f>SUM(T96:T100)</f>
        <v>0</v>
      </c>
      <c r="AR95" s="117" t="s">
        <v>185</v>
      </c>
      <c r="AT95" s="124" t="s">
        <v>76</v>
      </c>
      <c r="AU95" s="124" t="s">
        <v>77</v>
      </c>
      <c r="AY95" s="117" t="s">
        <v>177</v>
      </c>
      <c r="BK95" s="125">
        <f>SUM(BK96:BK100)</f>
        <v>0</v>
      </c>
    </row>
    <row r="96" spans="2:65" s="1" customFormat="1" ht="16.5" customHeight="1">
      <c r="B96" s="128"/>
      <c r="C96" s="129" t="s">
        <v>233</v>
      </c>
      <c r="D96" s="129" t="s">
        <v>180</v>
      </c>
      <c r="E96" s="130" t="s">
        <v>528</v>
      </c>
      <c r="F96" s="131" t="s">
        <v>529</v>
      </c>
      <c r="G96" s="132" t="s">
        <v>305</v>
      </c>
      <c r="H96" s="133">
        <v>100</v>
      </c>
      <c r="I96" s="134"/>
      <c r="J96" s="135">
        <f>ROUND(I96*H96,2)</f>
        <v>0</v>
      </c>
      <c r="K96" s="131" t="s">
        <v>184</v>
      </c>
      <c r="L96" s="33"/>
      <c r="M96" s="136" t="s">
        <v>3</v>
      </c>
      <c r="N96" s="137" t="s">
        <v>48</v>
      </c>
      <c r="P96" s="138">
        <f>O96*H96</f>
        <v>0</v>
      </c>
      <c r="Q96" s="138">
        <v>0</v>
      </c>
      <c r="R96" s="138">
        <f>Q96*H96</f>
        <v>0</v>
      </c>
      <c r="S96" s="138">
        <v>0</v>
      </c>
      <c r="T96" s="139">
        <f>S96*H96</f>
        <v>0</v>
      </c>
      <c r="AR96" s="140" t="s">
        <v>318</v>
      </c>
      <c r="AT96" s="140" t="s">
        <v>180</v>
      </c>
      <c r="AU96" s="140" t="s">
        <v>85</v>
      </c>
      <c r="AY96" s="18" t="s">
        <v>177</v>
      </c>
      <c r="BE96" s="141">
        <f>IF(N96="základní",J96,0)</f>
        <v>0</v>
      </c>
      <c r="BF96" s="141">
        <f>IF(N96="snížená",J96,0)</f>
        <v>0</v>
      </c>
      <c r="BG96" s="141">
        <f>IF(N96="zákl. přenesená",J96,0)</f>
        <v>0</v>
      </c>
      <c r="BH96" s="141">
        <f>IF(N96="sníž. přenesená",J96,0)</f>
        <v>0</v>
      </c>
      <c r="BI96" s="141">
        <f>IF(N96="nulová",J96,0)</f>
        <v>0</v>
      </c>
      <c r="BJ96" s="18" t="s">
        <v>85</v>
      </c>
      <c r="BK96" s="141">
        <f>ROUND(I96*H96,2)</f>
        <v>0</v>
      </c>
      <c r="BL96" s="18" t="s">
        <v>318</v>
      </c>
      <c r="BM96" s="140" t="s">
        <v>3852</v>
      </c>
    </row>
    <row r="97" spans="2:47" s="1" customFormat="1" ht="19.5">
      <c r="B97" s="33"/>
      <c r="D97" s="142" t="s">
        <v>187</v>
      </c>
      <c r="F97" s="143" t="s">
        <v>531</v>
      </c>
      <c r="I97" s="144"/>
      <c r="L97" s="33"/>
      <c r="M97" s="145"/>
      <c r="T97" s="54"/>
      <c r="AT97" s="18" t="s">
        <v>187</v>
      </c>
      <c r="AU97" s="18" t="s">
        <v>85</v>
      </c>
    </row>
    <row r="98" spans="2:47" s="1" customFormat="1" ht="11.25">
      <c r="B98" s="33"/>
      <c r="D98" s="146" t="s">
        <v>189</v>
      </c>
      <c r="F98" s="147" t="s">
        <v>532</v>
      </c>
      <c r="I98" s="144"/>
      <c r="L98" s="33"/>
      <c r="M98" s="145"/>
      <c r="T98" s="54"/>
      <c r="AT98" s="18" t="s">
        <v>189</v>
      </c>
      <c r="AU98" s="18" t="s">
        <v>85</v>
      </c>
    </row>
    <row r="99" spans="2:51" s="13" customFormat="1" ht="11.25">
      <c r="B99" s="156"/>
      <c r="D99" s="142" t="s">
        <v>193</v>
      </c>
      <c r="E99" s="157" t="s">
        <v>3</v>
      </c>
      <c r="F99" s="158" t="s">
        <v>3853</v>
      </c>
      <c r="H99" s="157" t="s">
        <v>3</v>
      </c>
      <c r="I99" s="159"/>
      <c r="L99" s="156"/>
      <c r="M99" s="160"/>
      <c r="T99" s="161"/>
      <c r="AT99" s="157" t="s">
        <v>193</v>
      </c>
      <c r="AU99" s="157" t="s">
        <v>85</v>
      </c>
      <c r="AV99" s="13" t="s">
        <v>85</v>
      </c>
      <c r="AW99" s="13" t="s">
        <v>36</v>
      </c>
      <c r="AX99" s="13" t="s">
        <v>77</v>
      </c>
      <c r="AY99" s="157" t="s">
        <v>177</v>
      </c>
    </row>
    <row r="100" spans="2:51" s="12" customFormat="1" ht="11.25">
      <c r="B100" s="149"/>
      <c r="D100" s="142" t="s">
        <v>193</v>
      </c>
      <c r="E100" s="150" t="s">
        <v>3</v>
      </c>
      <c r="F100" s="151" t="s">
        <v>2777</v>
      </c>
      <c r="H100" s="152">
        <v>100</v>
      </c>
      <c r="I100" s="153"/>
      <c r="L100" s="149"/>
      <c r="M100" s="176"/>
      <c r="N100" s="177"/>
      <c r="O100" s="177"/>
      <c r="P100" s="177"/>
      <c r="Q100" s="177"/>
      <c r="R100" s="177"/>
      <c r="S100" s="177"/>
      <c r="T100" s="178"/>
      <c r="AT100" s="150" t="s">
        <v>193</v>
      </c>
      <c r="AU100" s="150" t="s">
        <v>85</v>
      </c>
      <c r="AV100" s="12" t="s">
        <v>87</v>
      </c>
      <c r="AW100" s="12" t="s">
        <v>36</v>
      </c>
      <c r="AX100" s="12" t="s">
        <v>85</v>
      </c>
      <c r="AY100" s="150" t="s">
        <v>177</v>
      </c>
    </row>
    <row r="101" spans="2:12" s="1" customFormat="1" ht="6.95" customHeight="1">
      <c r="B101" s="42"/>
      <c r="C101" s="43"/>
      <c r="D101" s="43"/>
      <c r="E101" s="43"/>
      <c r="F101" s="43"/>
      <c r="G101" s="43"/>
      <c r="H101" s="43"/>
      <c r="I101" s="43"/>
      <c r="J101" s="43"/>
      <c r="K101" s="43"/>
      <c r="L101" s="33"/>
    </row>
  </sheetData>
  <autoFilter ref="C81:K100"/>
  <mergeCells count="9">
    <mergeCell ref="E50:H50"/>
    <mergeCell ref="E72:H72"/>
    <mergeCell ref="E74:H74"/>
    <mergeCell ref="L2:V2"/>
    <mergeCell ref="E7:H7"/>
    <mergeCell ref="E9:H9"/>
    <mergeCell ref="E18:H18"/>
    <mergeCell ref="E27:H27"/>
    <mergeCell ref="E48:H48"/>
  </mergeCells>
  <hyperlinks>
    <hyperlink ref="F98" r:id="rId1"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1824-4B43-46C6-A112-2FB89BCB0264}">
  <sheetPr>
    <pageSetUpPr fitToPage="1"/>
  </sheetPr>
  <dimension ref="A1:BL87"/>
  <sheetViews>
    <sheetView workbookViewId="0" topLeftCell="A1">
      <pane ySplit="11" topLeftCell="A12" activePane="bottomLeft" state="frozen"/>
      <selection pane="topLeft" activeCell="T30" sqref="T30:U30"/>
      <selection pane="bottomLeft" activeCell="T30" sqref="T30:U30"/>
    </sheetView>
  </sheetViews>
  <sheetFormatPr defaultColWidth="13.57421875" defaultRowHeight="12"/>
  <cols>
    <col min="1" max="1" width="4.28125" style="375" customWidth="1"/>
    <col min="2" max="2" width="8.8515625" style="375" customWidth="1"/>
    <col min="3" max="3" width="16.7109375" style="375" customWidth="1"/>
    <col min="4" max="4" width="1.7109375" style="375" customWidth="1"/>
    <col min="5" max="5" width="54.421875" style="375" customWidth="1"/>
    <col min="6" max="6" width="5.00390625" style="375" customWidth="1"/>
    <col min="7" max="7" width="15.00390625" style="375" customWidth="1"/>
    <col min="8" max="8" width="14.00390625" style="375" customWidth="1"/>
    <col min="9" max="11" width="16.7109375" style="375" customWidth="1"/>
    <col min="12" max="14" width="13.7109375" style="375" customWidth="1"/>
    <col min="15" max="24" width="13.421875" style="375" customWidth="1"/>
    <col min="25" max="64" width="14.140625" style="375" hidden="1" customWidth="1"/>
    <col min="65" max="256" width="13.421875" style="375" customWidth="1"/>
    <col min="257" max="257" width="4.28125" style="375" customWidth="1"/>
    <col min="258" max="258" width="8.8515625" style="375" customWidth="1"/>
    <col min="259" max="259" width="16.7109375" style="375" customWidth="1"/>
    <col min="260" max="260" width="1.7109375" style="375" customWidth="1"/>
    <col min="261" max="261" width="54.421875" style="375" customWidth="1"/>
    <col min="262" max="262" width="5.00390625" style="375" customWidth="1"/>
    <col min="263" max="263" width="15.00390625" style="375" customWidth="1"/>
    <col min="264" max="264" width="14.00390625" style="375" customWidth="1"/>
    <col min="265" max="267" width="16.7109375" style="375" customWidth="1"/>
    <col min="268" max="270" width="13.7109375" style="375" customWidth="1"/>
    <col min="271" max="280" width="13.421875" style="375" customWidth="1"/>
    <col min="281" max="320" width="13.57421875" style="375" hidden="1" customWidth="1"/>
    <col min="321" max="512" width="13.421875" style="375" customWidth="1"/>
    <col min="513" max="513" width="4.28125" style="375" customWidth="1"/>
    <col min="514" max="514" width="8.8515625" style="375" customWidth="1"/>
    <col min="515" max="515" width="16.7109375" style="375" customWidth="1"/>
    <col min="516" max="516" width="1.7109375" style="375" customWidth="1"/>
    <col min="517" max="517" width="54.421875" style="375" customWidth="1"/>
    <col min="518" max="518" width="5.00390625" style="375" customWidth="1"/>
    <col min="519" max="519" width="15.00390625" style="375" customWidth="1"/>
    <col min="520" max="520" width="14.00390625" style="375" customWidth="1"/>
    <col min="521" max="523" width="16.7109375" style="375" customWidth="1"/>
    <col min="524" max="526" width="13.7109375" style="375" customWidth="1"/>
    <col min="527" max="536" width="13.421875" style="375" customWidth="1"/>
    <col min="537" max="576" width="13.57421875" style="375" hidden="1" customWidth="1"/>
    <col min="577" max="768" width="13.421875" style="375" customWidth="1"/>
    <col min="769" max="769" width="4.28125" style="375" customWidth="1"/>
    <col min="770" max="770" width="8.8515625" style="375" customWidth="1"/>
    <col min="771" max="771" width="16.7109375" style="375" customWidth="1"/>
    <col min="772" max="772" width="1.7109375" style="375" customWidth="1"/>
    <col min="773" max="773" width="54.421875" style="375" customWidth="1"/>
    <col min="774" max="774" width="5.00390625" style="375" customWidth="1"/>
    <col min="775" max="775" width="15.00390625" style="375" customWidth="1"/>
    <col min="776" max="776" width="14.00390625" style="375" customWidth="1"/>
    <col min="777" max="779" width="16.7109375" style="375" customWidth="1"/>
    <col min="780" max="782" width="13.7109375" style="375" customWidth="1"/>
    <col min="783" max="792" width="13.421875" style="375" customWidth="1"/>
    <col min="793" max="832" width="13.57421875" style="375" hidden="1" customWidth="1"/>
    <col min="833" max="1024" width="13.421875" style="375" customWidth="1"/>
    <col min="1025" max="1025" width="4.28125" style="375" customWidth="1"/>
    <col min="1026" max="1026" width="8.8515625" style="375" customWidth="1"/>
    <col min="1027" max="1027" width="16.7109375" style="375" customWidth="1"/>
    <col min="1028" max="1028" width="1.7109375" style="375" customWidth="1"/>
    <col min="1029" max="1029" width="54.421875" style="375" customWidth="1"/>
    <col min="1030" max="1030" width="5.00390625" style="375" customWidth="1"/>
    <col min="1031" max="1031" width="15.00390625" style="375" customWidth="1"/>
    <col min="1032" max="1032" width="14.00390625" style="375" customWidth="1"/>
    <col min="1033" max="1035" width="16.7109375" style="375" customWidth="1"/>
    <col min="1036" max="1038" width="13.7109375" style="375" customWidth="1"/>
    <col min="1039" max="1048" width="13.421875" style="375" customWidth="1"/>
    <col min="1049" max="1088" width="13.57421875" style="375" hidden="1" customWidth="1"/>
    <col min="1089" max="1280" width="13.421875" style="375" customWidth="1"/>
    <col min="1281" max="1281" width="4.28125" style="375" customWidth="1"/>
    <col min="1282" max="1282" width="8.8515625" style="375" customWidth="1"/>
    <col min="1283" max="1283" width="16.7109375" style="375" customWidth="1"/>
    <col min="1284" max="1284" width="1.7109375" style="375" customWidth="1"/>
    <col min="1285" max="1285" width="54.421875" style="375" customWidth="1"/>
    <col min="1286" max="1286" width="5.00390625" style="375" customWidth="1"/>
    <col min="1287" max="1287" width="15.00390625" style="375" customWidth="1"/>
    <col min="1288" max="1288" width="14.00390625" style="375" customWidth="1"/>
    <col min="1289" max="1291" width="16.7109375" style="375" customWidth="1"/>
    <col min="1292" max="1294" width="13.7109375" style="375" customWidth="1"/>
    <col min="1295" max="1304" width="13.421875" style="375" customWidth="1"/>
    <col min="1305" max="1344" width="13.57421875" style="375" hidden="1" customWidth="1"/>
    <col min="1345" max="1536" width="13.421875" style="375" customWidth="1"/>
    <col min="1537" max="1537" width="4.28125" style="375" customWidth="1"/>
    <col min="1538" max="1538" width="8.8515625" style="375" customWidth="1"/>
    <col min="1539" max="1539" width="16.7109375" style="375" customWidth="1"/>
    <col min="1540" max="1540" width="1.7109375" style="375" customWidth="1"/>
    <col min="1541" max="1541" width="54.421875" style="375" customWidth="1"/>
    <col min="1542" max="1542" width="5.00390625" style="375" customWidth="1"/>
    <col min="1543" max="1543" width="15.00390625" style="375" customWidth="1"/>
    <col min="1544" max="1544" width="14.00390625" style="375" customWidth="1"/>
    <col min="1545" max="1547" width="16.7109375" style="375" customWidth="1"/>
    <col min="1548" max="1550" width="13.7109375" style="375" customWidth="1"/>
    <col min="1551" max="1560" width="13.421875" style="375" customWidth="1"/>
    <col min="1561" max="1600" width="13.57421875" style="375" hidden="1" customWidth="1"/>
    <col min="1601" max="1792" width="13.421875" style="375" customWidth="1"/>
    <col min="1793" max="1793" width="4.28125" style="375" customWidth="1"/>
    <col min="1794" max="1794" width="8.8515625" style="375" customWidth="1"/>
    <col min="1795" max="1795" width="16.7109375" style="375" customWidth="1"/>
    <col min="1796" max="1796" width="1.7109375" style="375" customWidth="1"/>
    <col min="1797" max="1797" width="54.421875" style="375" customWidth="1"/>
    <col min="1798" max="1798" width="5.00390625" style="375" customWidth="1"/>
    <col min="1799" max="1799" width="15.00390625" style="375" customWidth="1"/>
    <col min="1800" max="1800" width="14.00390625" style="375" customWidth="1"/>
    <col min="1801" max="1803" width="16.7109375" style="375" customWidth="1"/>
    <col min="1804" max="1806" width="13.7109375" style="375" customWidth="1"/>
    <col min="1807" max="1816" width="13.421875" style="375" customWidth="1"/>
    <col min="1817" max="1856" width="13.57421875" style="375" hidden="1" customWidth="1"/>
    <col min="1857" max="2048" width="13.421875" style="375" customWidth="1"/>
    <col min="2049" max="2049" width="4.28125" style="375" customWidth="1"/>
    <col min="2050" max="2050" width="8.8515625" style="375" customWidth="1"/>
    <col min="2051" max="2051" width="16.7109375" style="375" customWidth="1"/>
    <col min="2052" max="2052" width="1.7109375" style="375" customWidth="1"/>
    <col min="2053" max="2053" width="54.421875" style="375" customWidth="1"/>
    <col min="2054" max="2054" width="5.00390625" style="375" customWidth="1"/>
    <col min="2055" max="2055" width="15.00390625" style="375" customWidth="1"/>
    <col min="2056" max="2056" width="14.00390625" style="375" customWidth="1"/>
    <col min="2057" max="2059" width="16.7109375" style="375" customWidth="1"/>
    <col min="2060" max="2062" width="13.7109375" style="375" customWidth="1"/>
    <col min="2063" max="2072" width="13.421875" style="375" customWidth="1"/>
    <col min="2073" max="2112" width="13.57421875" style="375" hidden="1" customWidth="1"/>
    <col min="2113" max="2304" width="13.421875" style="375" customWidth="1"/>
    <col min="2305" max="2305" width="4.28125" style="375" customWidth="1"/>
    <col min="2306" max="2306" width="8.8515625" style="375" customWidth="1"/>
    <col min="2307" max="2307" width="16.7109375" style="375" customWidth="1"/>
    <col min="2308" max="2308" width="1.7109375" style="375" customWidth="1"/>
    <col min="2309" max="2309" width="54.421875" style="375" customWidth="1"/>
    <col min="2310" max="2310" width="5.00390625" style="375" customWidth="1"/>
    <col min="2311" max="2311" width="15.00390625" style="375" customWidth="1"/>
    <col min="2312" max="2312" width="14.00390625" style="375" customWidth="1"/>
    <col min="2313" max="2315" width="16.7109375" style="375" customWidth="1"/>
    <col min="2316" max="2318" width="13.7109375" style="375" customWidth="1"/>
    <col min="2319" max="2328" width="13.421875" style="375" customWidth="1"/>
    <col min="2329" max="2368" width="13.57421875" style="375" hidden="1" customWidth="1"/>
    <col min="2369" max="2560" width="13.421875" style="375" customWidth="1"/>
    <col min="2561" max="2561" width="4.28125" style="375" customWidth="1"/>
    <col min="2562" max="2562" width="8.8515625" style="375" customWidth="1"/>
    <col min="2563" max="2563" width="16.7109375" style="375" customWidth="1"/>
    <col min="2564" max="2564" width="1.7109375" style="375" customWidth="1"/>
    <col min="2565" max="2565" width="54.421875" style="375" customWidth="1"/>
    <col min="2566" max="2566" width="5.00390625" style="375" customWidth="1"/>
    <col min="2567" max="2567" width="15.00390625" style="375" customWidth="1"/>
    <col min="2568" max="2568" width="14.00390625" style="375" customWidth="1"/>
    <col min="2569" max="2571" width="16.7109375" style="375" customWidth="1"/>
    <col min="2572" max="2574" width="13.7109375" style="375" customWidth="1"/>
    <col min="2575" max="2584" width="13.421875" style="375" customWidth="1"/>
    <col min="2585" max="2624" width="13.57421875" style="375" hidden="1" customWidth="1"/>
    <col min="2625" max="2816" width="13.421875" style="375" customWidth="1"/>
    <col min="2817" max="2817" width="4.28125" style="375" customWidth="1"/>
    <col min="2818" max="2818" width="8.8515625" style="375" customWidth="1"/>
    <col min="2819" max="2819" width="16.7109375" style="375" customWidth="1"/>
    <col min="2820" max="2820" width="1.7109375" style="375" customWidth="1"/>
    <col min="2821" max="2821" width="54.421875" style="375" customWidth="1"/>
    <col min="2822" max="2822" width="5.00390625" style="375" customWidth="1"/>
    <col min="2823" max="2823" width="15.00390625" style="375" customWidth="1"/>
    <col min="2824" max="2824" width="14.00390625" style="375" customWidth="1"/>
    <col min="2825" max="2827" width="16.7109375" style="375" customWidth="1"/>
    <col min="2828" max="2830" width="13.7109375" style="375" customWidth="1"/>
    <col min="2831" max="2840" width="13.421875" style="375" customWidth="1"/>
    <col min="2841" max="2880" width="13.57421875" style="375" hidden="1" customWidth="1"/>
    <col min="2881" max="3072" width="13.421875" style="375" customWidth="1"/>
    <col min="3073" max="3073" width="4.28125" style="375" customWidth="1"/>
    <col min="3074" max="3074" width="8.8515625" style="375" customWidth="1"/>
    <col min="3075" max="3075" width="16.7109375" style="375" customWidth="1"/>
    <col min="3076" max="3076" width="1.7109375" style="375" customWidth="1"/>
    <col min="3077" max="3077" width="54.421875" style="375" customWidth="1"/>
    <col min="3078" max="3078" width="5.00390625" style="375" customWidth="1"/>
    <col min="3079" max="3079" width="15.00390625" style="375" customWidth="1"/>
    <col min="3080" max="3080" width="14.00390625" style="375" customWidth="1"/>
    <col min="3081" max="3083" width="16.7109375" style="375" customWidth="1"/>
    <col min="3084" max="3086" width="13.7109375" style="375" customWidth="1"/>
    <col min="3087" max="3096" width="13.421875" style="375" customWidth="1"/>
    <col min="3097" max="3136" width="13.57421875" style="375" hidden="1" customWidth="1"/>
    <col min="3137" max="3328" width="13.421875" style="375" customWidth="1"/>
    <col min="3329" max="3329" width="4.28125" style="375" customWidth="1"/>
    <col min="3330" max="3330" width="8.8515625" style="375" customWidth="1"/>
    <col min="3331" max="3331" width="16.7109375" style="375" customWidth="1"/>
    <col min="3332" max="3332" width="1.7109375" style="375" customWidth="1"/>
    <col min="3333" max="3333" width="54.421875" style="375" customWidth="1"/>
    <col min="3334" max="3334" width="5.00390625" style="375" customWidth="1"/>
    <col min="3335" max="3335" width="15.00390625" style="375" customWidth="1"/>
    <col min="3336" max="3336" width="14.00390625" style="375" customWidth="1"/>
    <col min="3337" max="3339" width="16.7109375" style="375" customWidth="1"/>
    <col min="3340" max="3342" width="13.7109375" style="375" customWidth="1"/>
    <col min="3343" max="3352" width="13.421875" style="375" customWidth="1"/>
    <col min="3353" max="3392" width="13.57421875" style="375" hidden="1" customWidth="1"/>
    <col min="3393" max="3584" width="13.421875" style="375" customWidth="1"/>
    <col min="3585" max="3585" width="4.28125" style="375" customWidth="1"/>
    <col min="3586" max="3586" width="8.8515625" style="375" customWidth="1"/>
    <col min="3587" max="3587" width="16.7109375" style="375" customWidth="1"/>
    <col min="3588" max="3588" width="1.7109375" style="375" customWidth="1"/>
    <col min="3589" max="3589" width="54.421875" style="375" customWidth="1"/>
    <col min="3590" max="3590" width="5.00390625" style="375" customWidth="1"/>
    <col min="3591" max="3591" width="15.00390625" style="375" customWidth="1"/>
    <col min="3592" max="3592" width="14.00390625" style="375" customWidth="1"/>
    <col min="3593" max="3595" width="16.7109375" style="375" customWidth="1"/>
    <col min="3596" max="3598" width="13.7109375" style="375" customWidth="1"/>
    <col min="3599" max="3608" width="13.421875" style="375" customWidth="1"/>
    <col min="3609" max="3648" width="13.57421875" style="375" hidden="1" customWidth="1"/>
    <col min="3649" max="3840" width="13.421875" style="375" customWidth="1"/>
    <col min="3841" max="3841" width="4.28125" style="375" customWidth="1"/>
    <col min="3842" max="3842" width="8.8515625" style="375" customWidth="1"/>
    <col min="3843" max="3843" width="16.7109375" style="375" customWidth="1"/>
    <col min="3844" max="3844" width="1.7109375" style="375" customWidth="1"/>
    <col min="3845" max="3845" width="54.421875" style="375" customWidth="1"/>
    <col min="3846" max="3846" width="5.00390625" style="375" customWidth="1"/>
    <col min="3847" max="3847" width="15.00390625" style="375" customWidth="1"/>
    <col min="3848" max="3848" width="14.00390625" style="375" customWidth="1"/>
    <col min="3849" max="3851" width="16.7109375" style="375" customWidth="1"/>
    <col min="3852" max="3854" width="13.7109375" style="375" customWidth="1"/>
    <col min="3855" max="3864" width="13.421875" style="375" customWidth="1"/>
    <col min="3865" max="3904" width="13.57421875" style="375" hidden="1" customWidth="1"/>
    <col min="3905" max="4096" width="13.421875" style="375" customWidth="1"/>
    <col min="4097" max="4097" width="4.28125" style="375" customWidth="1"/>
    <col min="4098" max="4098" width="8.8515625" style="375" customWidth="1"/>
    <col min="4099" max="4099" width="16.7109375" style="375" customWidth="1"/>
    <col min="4100" max="4100" width="1.7109375" style="375" customWidth="1"/>
    <col min="4101" max="4101" width="54.421875" style="375" customWidth="1"/>
    <col min="4102" max="4102" width="5.00390625" style="375" customWidth="1"/>
    <col min="4103" max="4103" width="15.00390625" style="375" customWidth="1"/>
    <col min="4104" max="4104" width="14.00390625" style="375" customWidth="1"/>
    <col min="4105" max="4107" width="16.7109375" style="375" customWidth="1"/>
    <col min="4108" max="4110" width="13.7109375" style="375" customWidth="1"/>
    <col min="4111" max="4120" width="13.421875" style="375" customWidth="1"/>
    <col min="4121" max="4160" width="13.57421875" style="375" hidden="1" customWidth="1"/>
    <col min="4161" max="4352" width="13.421875" style="375" customWidth="1"/>
    <col min="4353" max="4353" width="4.28125" style="375" customWidth="1"/>
    <col min="4354" max="4354" width="8.8515625" style="375" customWidth="1"/>
    <col min="4355" max="4355" width="16.7109375" style="375" customWidth="1"/>
    <col min="4356" max="4356" width="1.7109375" style="375" customWidth="1"/>
    <col min="4357" max="4357" width="54.421875" style="375" customWidth="1"/>
    <col min="4358" max="4358" width="5.00390625" style="375" customWidth="1"/>
    <col min="4359" max="4359" width="15.00390625" style="375" customWidth="1"/>
    <col min="4360" max="4360" width="14.00390625" style="375" customWidth="1"/>
    <col min="4361" max="4363" width="16.7109375" style="375" customWidth="1"/>
    <col min="4364" max="4366" width="13.7109375" style="375" customWidth="1"/>
    <col min="4367" max="4376" width="13.421875" style="375" customWidth="1"/>
    <col min="4377" max="4416" width="13.57421875" style="375" hidden="1" customWidth="1"/>
    <col min="4417" max="4608" width="13.421875" style="375" customWidth="1"/>
    <col min="4609" max="4609" width="4.28125" style="375" customWidth="1"/>
    <col min="4610" max="4610" width="8.8515625" style="375" customWidth="1"/>
    <col min="4611" max="4611" width="16.7109375" style="375" customWidth="1"/>
    <col min="4612" max="4612" width="1.7109375" style="375" customWidth="1"/>
    <col min="4613" max="4613" width="54.421875" style="375" customWidth="1"/>
    <col min="4614" max="4614" width="5.00390625" style="375" customWidth="1"/>
    <col min="4615" max="4615" width="15.00390625" style="375" customWidth="1"/>
    <col min="4616" max="4616" width="14.00390625" style="375" customWidth="1"/>
    <col min="4617" max="4619" width="16.7109375" style="375" customWidth="1"/>
    <col min="4620" max="4622" width="13.7109375" style="375" customWidth="1"/>
    <col min="4623" max="4632" width="13.421875" style="375" customWidth="1"/>
    <col min="4633" max="4672" width="13.57421875" style="375" hidden="1" customWidth="1"/>
    <col min="4673" max="4864" width="13.421875" style="375" customWidth="1"/>
    <col min="4865" max="4865" width="4.28125" style="375" customWidth="1"/>
    <col min="4866" max="4866" width="8.8515625" style="375" customWidth="1"/>
    <col min="4867" max="4867" width="16.7109375" style="375" customWidth="1"/>
    <col min="4868" max="4868" width="1.7109375" style="375" customWidth="1"/>
    <col min="4869" max="4869" width="54.421875" style="375" customWidth="1"/>
    <col min="4870" max="4870" width="5.00390625" style="375" customWidth="1"/>
    <col min="4871" max="4871" width="15.00390625" style="375" customWidth="1"/>
    <col min="4872" max="4872" width="14.00390625" style="375" customWidth="1"/>
    <col min="4873" max="4875" width="16.7109375" style="375" customWidth="1"/>
    <col min="4876" max="4878" width="13.7109375" style="375" customWidth="1"/>
    <col min="4879" max="4888" width="13.421875" style="375" customWidth="1"/>
    <col min="4889" max="4928" width="13.57421875" style="375" hidden="1" customWidth="1"/>
    <col min="4929" max="5120" width="13.421875" style="375" customWidth="1"/>
    <col min="5121" max="5121" width="4.28125" style="375" customWidth="1"/>
    <col min="5122" max="5122" width="8.8515625" style="375" customWidth="1"/>
    <col min="5123" max="5123" width="16.7109375" style="375" customWidth="1"/>
    <col min="5124" max="5124" width="1.7109375" style="375" customWidth="1"/>
    <col min="5125" max="5125" width="54.421875" style="375" customWidth="1"/>
    <col min="5126" max="5126" width="5.00390625" style="375" customWidth="1"/>
    <col min="5127" max="5127" width="15.00390625" style="375" customWidth="1"/>
    <col min="5128" max="5128" width="14.00390625" style="375" customWidth="1"/>
    <col min="5129" max="5131" width="16.7109375" style="375" customWidth="1"/>
    <col min="5132" max="5134" width="13.7109375" style="375" customWidth="1"/>
    <col min="5135" max="5144" width="13.421875" style="375" customWidth="1"/>
    <col min="5145" max="5184" width="13.57421875" style="375" hidden="1" customWidth="1"/>
    <col min="5185" max="5376" width="13.421875" style="375" customWidth="1"/>
    <col min="5377" max="5377" width="4.28125" style="375" customWidth="1"/>
    <col min="5378" max="5378" width="8.8515625" style="375" customWidth="1"/>
    <col min="5379" max="5379" width="16.7109375" style="375" customWidth="1"/>
    <col min="5380" max="5380" width="1.7109375" style="375" customWidth="1"/>
    <col min="5381" max="5381" width="54.421875" style="375" customWidth="1"/>
    <col min="5382" max="5382" width="5.00390625" style="375" customWidth="1"/>
    <col min="5383" max="5383" width="15.00390625" style="375" customWidth="1"/>
    <col min="5384" max="5384" width="14.00390625" style="375" customWidth="1"/>
    <col min="5385" max="5387" width="16.7109375" style="375" customWidth="1"/>
    <col min="5388" max="5390" width="13.7109375" style="375" customWidth="1"/>
    <col min="5391" max="5400" width="13.421875" style="375" customWidth="1"/>
    <col min="5401" max="5440" width="13.57421875" style="375" hidden="1" customWidth="1"/>
    <col min="5441" max="5632" width="13.421875" style="375" customWidth="1"/>
    <col min="5633" max="5633" width="4.28125" style="375" customWidth="1"/>
    <col min="5634" max="5634" width="8.8515625" style="375" customWidth="1"/>
    <col min="5635" max="5635" width="16.7109375" style="375" customWidth="1"/>
    <col min="5636" max="5636" width="1.7109375" style="375" customWidth="1"/>
    <col min="5637" max="5637" width="54.421875" style="375" customWidth="1"/>
    <col min="5638" max="5638" width="5.00390625" style="375" customWidth="1"/>
    <col min="5639" max="5639" width="15.00390625" style="375" customWidth="1"/>
    <col min="5640" max="5640" width="14.00390625" style="375" customWidth="1"/>
    <col min="5641" max="5643" width="16.7109375" style="375" customWidth="1"/>
    <col min="5644" max="5646" width="13.7109375" style="375" customWidth="1"/>
    <col min="5647" max="5656" width="13.421875" style="375" customWidth="1"/>
    <col min="5657" max="5696" width="13.57421875" style="375" hidden="1" customWidth="1"/>
    <col min="5697" max="5888" width="13.421875" style="375" customWidth="1"/>
    <col min="5889" max="5889" width="4.28125" style="375" customWidth="1"/>
    <col min="5890" max="5890" width="8.8515625" style="375" customWidth="1"/>
    <col min="5891" max="5891" width="16.7109375" style="375" customWidth="1"/>
    <col min="5892" max="5892" width="1.7109375" style="375" customWidth="1"/>
    <col min="5893" max="5893" width="54.421875" style="375" customWidth="1"/>
    <col min="5894" max="5894" width="5.00390625" style="375" customWidth="1"/>
    <col min="5895" max="5895" width="15.00390625" style="375" customWidth="1"/>
    <col min="5896" max="5896" width="14.00390625" style="375" customWidth="1"/>
    <col min="5897" max="5899" width="16.7109375" style="375" customWidth="1"/>
    <col min="5900" max="5902" width="13.7109375" style="375" customWidth="1"/>
    <col min="5903" max="5912" width="13.421875" style="375" customWidth="1"/>
    <col min="5913" max="5952" width="13.57421875" style="375" hidden="1" customWidth="1"/>
    <col min="5953" max="6144" width="13.421875" style="375" customWidth="1"/>
    <col min="6145" max="6145" width="4.28125" style="375" customWidth="1"/>
    <col min="6146" max="6146" width="8.8515625" style="375" customWidth="1"/>
    <col min="6147" max="6147" width="16.7109375" style="375" customWidth="1"/>
    <col min="6148" max="6148" width="1.7109375" style="375" customWidth="1"/>
    <col min="6149" max="6149" width="54.421875" style="375" customWidth="1"/>
    <col min="6150" max="6150" width="5.00390625" style="375" customWidth="1"/>
    <col min="6151" max="6151" width="15.00390625" style="375" customWidth="1"/>
    <col min="6152" max="6152" width="14.00390625" style="375" customWidth="1"/>
    <col min="6153" max="6155" width="16.7109375" style="375" customWidth="1"/>
    <col min="6156" max="6158" width="13.7109375" style="375" customWidth="1"/>
    <col min="6159" max="6168" width="13.421875" style="375" customWidth="1"/>
    <col min="6169" max="6208" width="13.57421875" style="375" hidden="1" customWidth="1"/>
    <col min="6209" max="6400" width="13.421875" style="375" customWidth="1"/>
    <col min="6401" max="6401" width="4.28125" style="375" customWidth="1"/>
    <col min="6402" max="6402" width="8.8515625" style="375" customWidth="1"/>
    <col min="6403" max="6403" width="16.7109375" style="375" customWidth="1"/>
    <col min="6404" max="6404" width="1.7109375" style="375" customWidth="1"/>
    <col min="6405" max="6405" width="54.421875" style="375" customWidth="1"/>
    <col min="6406" max="6406" width="5.00390625" style="375" customWidth="1"/>
    <col min="6407" max="6407" width="15.00390625" style="375" customWidth="1"/>
    <col min="6408" max="6408" width="14.00390625" style="375" customWidth="1"/>
    <col min="6409" max="6411" width="16.7109375" style="375" customWidth="1"/>
    <col min="6412" max="6414" width="13.7109375" style="375" customWidth="1"/>
    <col min="6415" max="6424" width="13.421875" style="375" customWidth="1"/>
    <col min="6425" max="6464" width="13.57421875" style="375" hidden="1" customWidth="1"/>
    <col min="6465" max="6656" width="13.421875" style="375" customWidth="1"/>
    <col min="6657" max="6657" width="4.28125" style="375" customWidth="1"/>
    <col min="6658" max="6658" width="8.8515625" style="375" customWidth="1"/>
    <col min="6659" max="6659" width="16.7109375" style="375" customWidth="1"/>
    <col min="6660" max="6660" width="1.7109375" style="375" customWidth="1"/>
    <col min="6661" max="6661" width="54.421875" style="375" customWidth="1"/>
    <col min="6662" max="6662" width="5.00390625" style="375" customWidth="1"/>
    <col min="6663" max="6663" width="15.00390625" style="375" customWidth="1"/>
    <col min="6664" max="6664" width="14.00390625" style="375" customWidth="1"/>
    <col min="6665" max="6667" width="16.7109375" style="375" customWidth="1"/>
    <col min="6668" max="6670" width="13.7109375" style="375" customWidth="1"/>
    <col min="6671" max="6680" width="13.421875" style="375" customWidth="1"/>
    <col min="6681" max="6720" width="13.57421875" style="375" hidden="1" customWidth="1"/>
    <col min="6721" max="6912" width="13.421875" style="375" customWidth="1"/>
    <col min="6913" max="6913" width="4.28125" style="375" customWidth="1"/>
    <col min="6914" max="6914" width="8.8515625" style="375" customWidth="1"/>
    <col min="6915" max="6915" width="16.7109375" style="375" customWidth="1"/>
    <col min="6916" max="6916" width="1.7109375" style="375" customWidth="1"/>
    <col min="6917" max="6917" width="54.421875" style="375" customWidth="1"/>
    <col min="6918" max="6918" width="5.00390625" style="375" customWidth="1"/>
    <col min="6919" max="6919" width="15.00390625" style="375" customWidth="1"/>
    <col min="6920" max="6920" width="14.00390625" style="375" customWidth="1"/>
    <col min="6921" max="6923" width="16.7109375" style="375" customWidth="1"/>
    <col min="6924" max="6926" width="13.7109375" style="375" customWidth="1"/>
    <col min="6927" max="6936" width="13.421875" style="375" customWidth="1"/>
    <col min="6937" max="6976" width="13.57421875" style="375" hidden="1" customWidth="1"/>
    <col min="6977" max="7168" width="13.421875" style="375" customWidth="1"/>
    <col min="7169" max="7169" width="4.28125" style="375" customWidth="1"/>
    <col min="7170" max="7170" width="8.8515625" style="375" customWidth="1"/>
    <col min="7171" max="7171" width="16.7109375" style="375" customWidth="1"/>
    <col min="7172" max="7172" width="1.7109375" style="375" customWidth="1"/>
    <col min="7173" max="7173" width="54.421875" style="375" customWidth="1"/>
    <col min="7174" max="7174" width="5.00390625" style="375" customWidth="1"/>
    <col min="7175" max="7175" width="15.00390625" style="375" customWidth="1"/>
    <col min="7176" max="7176" width="14.00390625" style="375" customWidth="1"/>
    <col min="7177" max="7179" width="16.7109375" style="375" customWidth="1"/>
    <col min="7180" max="7182" width="13.7109375" style="375" customWidth="1"/>
    <col min="7183" max="7192" width="13.421875" style="375" customWidth="1"/>
    <col min="7193" max="7232" width="13.57421875" style="375" hidden="1" customWidth="1"/>
    <col min="7233" max="7424" width="13.421875" style="375" customWidth="1"/>
    <col min="7425" max="7425" width="4.28125" style="375" customWidth="1"/>
    <col min="7426" max="7426" width="8.8515625" style="375" customWidth="1"/>
    <col min="7427" max="7427" width="16.7109375" style="375" customWidth="1"/>
    <col min="7428" max="7428" width="1.7109375" style="375" customWidth="1"/>
    <col min="7429" max="7429" width="54.421875" style="375" customWidth="1"/>
    <col min="7430" max="7430" width="5.00390625" style="375" customWidth="1"/>
    <col min="7431" max="7431" width="15.00390625" style="375" customWidth="1"/>
    <col min="7432" max="7432" width="14.00390625" style="375" customWidth="1"/>
    <col min="7433" max="7435" width="16.7109375" style="375" customWidth="1"/>
    <col min="7436" max="7438" width="13.7109375" style="375" customWidth="1"/>
    <col min="7439" max="7448" width="13.421875" style="375" customWidth="1"/>
    <col min="7449" max="7488" width="13.57421875" style="375" hidden="1" customWidth="1"/>
    <col min="7489" max="7680" width="13.421875" style="375" customWidth="1"/>
    <col min="7681" max="7681" width="4.28125" style="375" customWidth="1"/>
    <col min="7682" max="7682" width="8.8515625" style="375" customWidth="1"/>
    <col min="7683" max="7683" width="16.7109375" style="375" customWidth="1"/>
    <col min="7684" max="7684" width="1.7109375" style="375" customWidth="1"/>
    <col min="7685" max="7685" width="54.421875" style="375" customWidth="1"/>
    <col min="7686" max="7686" width="5.00390625" style="375" customWidth="1"/>
    <col min="7687" max="7687" width="15.00390625" style="375" customWidth="1"/>
    <col min="7688" max="7688" width="14.00390625" style="375" customWidth="1"/>
    <col min="7689" max="7691" width="16.7109375" style="375" customWidth="1"/>
    <col min="7692" max="7694" width="13.7109375" style="375" customWidth="1"/>
    <col min="7695" max="7704" width="13.421875" style="375" customWidth="1"/>
    <col min="7705" max="7744" width="13.57421875" style="375" hidden="1" customWidth="1"/>
    <col min="7745" max="7936" width="13.421875" style="375" customWidth="1"/>
    <col min="7937" max="7937" width="4.28125" style="375" customWidth="1"/>
    <col min="7938" max="7938" width="8.8515625" style="375" customWidth="1"/>
    <col min="7939" max="7939" width="16.7109375" style="375" customWidth="1"/>
    <col min="7940" max="7940" width="1.7109375" style="375" customWidth="1"/>
    <col min="7941" max="7941" width="54.421875" style="375" customWidth="1"/>
    <col min="7942" max="7942" width="5.00390625" style="375" customWidth="1"/>
    <col min="7943" max="7943" width="15.00390625" style="375" customWidth="1"/>
    <col min="7944" max="7944" width="14.00390625" style="375" customWidth="1"/>
    <col min="7945" max="7947" width="16.7109375" style="375" customWidth="1"/>
    <col min="7948" max="7950" width="13.7109375" style="375" customWidth="1"/>
    <col min="7951" max="7960" width="13.421875" style="375" customWidth="1"/>
    <col min="7961" max="8000" width="13.57421875" style="375" hidden="1" customWidth="1"/>
    <col min="8001" max="8192" width="13.421875" style="375" customWidth="1"/>
    <col min="8193" max="8193" width="4.28125" style="375" customWidth="1"/>
    <col min="8194" max="8194" width="8.8515625" style="375" customWidth="1"/>
    <col min="8195" max="8195" width="16.7109375" style="375" customWidth="1"/>
    <col min="8196" max="8196" width="1.7109375" style="375" customWidth="1"/>
    <col min="8197" max="8197" width="54.421875" style="375" customWidth="1"/>
    <col min="8198" max="8198" width="5.00390625" style="375" customWidth="1"/>
    <col min="8199" max="8199" width="15.00390625" style="375" customWidth="1"/>
    <col min="8200" max="8200" width="14.00390625" style="375" customWidth="1"/>
    <col min="8201" max="8203" width="16.7109375" style="375" customWidth="1"/>
    <col min="8204" max="8206" width="13.7109375" style="375" customWidth="1"/>
    <col min="8207" max="8216" width="13.421875" style="375" customWidth="1"/>
    <col min="8217" max="8256" width="13.57421875" style="375" hidden="1" customWidth="1"/>
    <col min="8257" max="8448" width="13.421875" style="375" customWidth="1"/>
    <col min="8449" max="8449" width="4.28125" style="375" customWidth="1"/>
    <col min="8450" max="8450" width="8.8515625" style="375" customWidth="1"/>
    <col min="8451" max="8451" width="16.7109375" style="375" customWidth="1"/>
    <col min="8452" max="8452" width="1.7109375" style="375" customWidth="1"/>
    <col min="8453" max="8453" width="54.421875" style="375" customWidth="1"/>
    <col min="8454" max="8454" width="5.00390625" style="375" customWidth="1"/>
    <col min="8455" max="8455" width="15.00390625" style="375" customWidth="1"/>
    <col min="8456" max="8456" width="14.00390625" style="375" customWidth="1"/>
    <col min="8457" max="8459" width="16.7109375" style="375" customWidth="1"/>
    <col min="8460" max="8462" width="13.7109375" style="375" customWidth="1"/>
    <col min="8463" max="8472" width="13.421875" style="375" customWidth="1"/>
    <col min="8473" max="8512" width="13.57421875" style="375" hidden="1" customWidth="1"/>
    <col min="8513" max="8704" width="13.421875" style="375" customWidth="1"/>
    <col min="8705" max="8705" width="4.28125" style="375" customWidth="1"/>
    <col min="8706" max="8706" width="8.8515625" style="375" customWidth="1"/>
    <col min="8707" max="8707" width="16.7109375" style="375" customWidth="1"/>
    <col min="8708" max="8708" width="1.7109375" style="375" customWidth="1"/>
    <col min="8709" max="8709" width="54.421875" style="375" customWidth="1"/>
    <col min="8710" max="8710" width="5.00390625" style="375" customWidth="1"/>
    <col min="8711" max="8711" width="15.00390625" style="375" customWidth="1"/>
    <col min="8712" max="8712" width="14.00390625" style="375" customWidth="1"/>
    <col min="8713" max="8715" width="16.7109375" style="375" customWidth="1"/>
    <col min="8716" max="8718" width="13.7109375" style="375" customWidth="1"/>
    <col min="8719" max="8728" width="13.421875" style="375" customWidth="1"/>
    <col min="8729" max="8768" width="13.57421875" style="375" hidden="1" customWidth="1"/>
    <col min="8769" max="8960" width="13.421875" style="375" customWidth="1"/>
    <col min="8961" max="8961" width="4.28125" style="375" customWidth="1"/>
    <col min="8962" max="8962" width="8.8515625" style="375" customWidth="1"/>
    <col min="8963" max="8963" width="16.7109375" style="375" customWidth="1"/>
    <col min="8964" max="8964" width="1.7109375" style="375" customWidth="1"/>
    <col min="8965" max="8965" width="54.421875" style="375" customWidth="1"/>
    <col min="8966" max="8966" width="5.00390625" style="375" customWidth="1"/>
    <col min="8967" max="8967" width="15.00390625" style="375" customWidth="1"/>
    <col min="8968" max="8968" width="14.00390625" style="375" customWidth="1"/>
    <col min="8969" max="8971" width="16.7109375" style="375" customWidth="1"/>
    <col min="8972" max="8974" width="13.7109375" style="375" customWidth="1"/>
    <col min="8975" max="8984" width="13.421875" style="375" customWidth="1"/>
    <col min="8985" max="9024" width="13.57421875" style="375" hidden="1" customWidth="1"/>
    <col min="9025" max="9216" width="13.421875" style="375" customWidth="1"/>
    <col min="9217" max="9217" width="4.28125" style="375" customWidth="1"/>
    <col min="9218" max="9218" width="8.8515625" style="375" customWidth="1"/>
    <col min="9219" max="9219" width="16.7109375" style="375" customWidth="1"/>
    <col min="9220" max="9220" width="1.7109375" style="375" customWidth="1"/>
    <col min="9221" max="9221" width="54.421875" style="375" customWidth="1"/>
    <col min="9222" max="9222" width="5.00390625" style="375" customWidth="1"/>
    <col min="9223" max="9223" width="15.00390625" style="375" customWidth="1"/>
    <col min="9224" max="9224" width="14.00390625" style="375" customWidth="1"/>
    <col min="9225" max="9227" width="16.7109375" style="375" customWidth="1"/>
    <col min="9228" max="9230" width="13.7109375" style="375" customWidth="1"/>
    <col min="9231" max="9240" width="13.421875" style="375" customWidth="1"/>
    <col min="9241" max="9280" width="13.57421875" style="375" hidden="1" customWidth="1"/>
    <col min="9281" max="9472" width="13.421875" style="375" customWidth="1"/>
    <col min="9473" max="9473" width="4.28125" style="375" customWidth="1"/>
    <col min="9474" max="9474" width="8.8515625" style="375" customWidth="1"/>
    <col min="9475" max="9475" width="16.7109375" style="375" customWidth="1"/>
    <col min="9476" max="9476" width="1.7109375" style="375" customWidth="1"/>
    <col min="9477" max="9477" width="54.421875" style="375" customWidth="1"/>
    <col min="9478" max="9478" width="5.00390625" style="375" customWidth="1"/>
    <col min="9479" max="9479" width="15.00390625" style="375" customWidth="1"/>
    <col min="9480" max="9480" width="14.00390625" style="375" customWidth="1"/>
    <col min="9481" max="9483" width="16.7109375" style="375" customWidth="1"/>
    <col min="9484" max="9486" width="13.7109375" style="375" customWidth="1"/>
    <col min="9487" max="9496" width="13.421875" style="375" customWidth="1"/>
    <col min="9497" max="9536" width="13.57421875" style="375" hidden="1" customWidth="1"/>
    <col min="9537" max="9728" width="13.421875" style="375" customWidth="1"/>
    <col min="9729" max="9729" width="4.28125" style="375" customWidth="1"/>
    <col min="9730" max="9730" width="8.8515625" style="375" customWidth="1"/>
    <col min="9731" max="9731" width="16.7109375" style="375" customWidth="1"/>
    <col min="9732" max="9732" width="1.7109375" style="375" customWidth="1"/>
    <col min="9733" max="9733" width="54.421875" style="375" customWidth="1"/>
    <col min="9734" max="9734" width="5.00390625" style="375" customWidth="1"/>
    <col min="9735" max="9735" width="15.00390625" style="375" customWidth="1"/>
    <col min="9736" max="9736" width="14.00390625" style="375" customWidth="1"/>
    <col min="9737" max="9739" width="16.7109375" style="375" customWidth="1"/>
    <col min="9740" max="9742" width="13.7109375" style="375" customWidth="1"/>
    <col min="9743" max="9752" width="13.421875" style="375" customWidth="1"/>
    <col min="9753" max="9792" width="13.57421875" style="375" hidden="1" customWidth="1"/>
    <col min="9793" max="9984" width="13.421875" style="375" customWidth="1"/>
    <col min="9985" max="9985" width="4.28125" style="375" customWidth="1"/>
    <col min="9986" max="9986" width="8.8515625" style="375" customWidth="1"/>
    <col min="9987" max="9987" width="16.7109375" style="375" customWidth="1"/>
    <col min="9988" max="9988" width="1.7109375" style="375" customWidth="1"/>
    <col min="9989" max="9989" width="54.421875" style="375" customWidth="1"/>
    <col min="9990" max="9990" width="5.00390625" style="375" customWidth="1"/>
    <col min="9991" max="9991" width="15.00390625" style="375" customWidth="1"/>
    <col min="9992" max="9992" width="14.00390625" style="375" customWidth="1"/>
    <col min="9993" max="9995" width="16.7109375" style="375" customWidth="1"/>
    <col min="9996" max="9998" width="13.7109375" style="375" customWidth="1"/>
    <col min="9999" max="10008" width="13.421875" style="375" customWidth="1"/>
    <col min="10009" max="10048" width="13.57421875" style="375" hidden="1" customWidth="1"/>
    <col min="10049" max="10240" width="13.421875" style="375" customWidth="1"/>
    <col min="10241" max="10241" width="4.28125" style="375" customWidth="1"/>
    <col min="10242" max="10242" width="8.8515625" style="375" customWidth="1"/>
    <col min="10243" max="10243" width="16.7109375" style="375" customWidth="1"/>
    <col min="10244" max="10244" width="1.7109375" style="375" customWidth="1"/>
    <col min="10245" max="10245" width="54.421875" style="375" customWidth="1"/>
    <col min="10246" max="10246" width="5.00390625" style="375" customWidth="1"/>
    <col min="10247" max="10247" width="15.00390625" style="375" customWidth="1"/>
    <col min="10248" max="10248" width="14.00390625" style="375" customWidth="1"/>
    <col min="10249" max="10251" width="16.7109375" style="375" customWidth="1"/>
    <col min="10252" max="10254" width="13.7109375" style="375" customWidth="1"/>
    <col min="10255" max="10264" width="13.421875" style="375" customWidth="1"/>
    <col min="10265" max="10304" width="13.57421875" style="375" hidden="1" customWidth="1"/>
    <col min="10305" max="10496" width="13.421875" style="375" customWidth="1"/>
    <col min="10497" max="10497" width="4.28125" style="375" customWidth="1"/>
    <col min="10498" max="10498" width="8.8515625" style="375" customWidth="1"/>
    <col min="10499" max="10499" width="16.7109375" style="375" customWidth="1"/>
    <col min="10500" max="10500" width="1.7109375" style="375" customWidth="1"/>
    <col min="10501" max="10501" width="54.421875" style="375" customWidth="1"/>
    <col min="10502" max="10502" width="5.00390625" style="375" customWidth="1"/>
    <col min="10503" max="10503" width="15.00390625" style="375" customWidth="1"/>
    <col min="10504" max="10504" width="14.00390625" style="375" customWidth="1"/>
    <col min="10505" max="10507" width="16.7109375" style="375" customWidth="1"/>
    <col min="10508" max="10510" width="13.7109375" style="375" customWidth="1"/>
    <col min="10511" max="10520" width="13.421875" style="375" customWidth="1"/>
    <col min="10521" max="10560" width="13.57421875" style="375" hidden="1" customWidth="1"/>
    <col min="10561" max="10752" width="13.421875" style="375" customWidth="1"/>
    <col min="10753" max="10753" width="4.28125" style="375" customWidth="1"/>
    <col min="10754" max="10754" width="8.8515625" style="375" customWidth="1"/>
    <col min="10755" max="10755" width="16.7109375" style="375" customWidth="1"/>
    <col min="10756" max="10756" width="1.7109375" style="375" customWidth="1"/>
    <col min="10757" max="10757" width="54.421875" style="375" customWidth="1"/>
    <col min="10758" max="10758" width="5.00390625" style="375" customWidth="1"/>
    <col min="10759" max="10759" width="15.00390625" style="375" customWidth="1"/>
    <col min="10760" max="10760" width="14.00390625" style="375" customWidth="1"/>
    <col min="10761" max="10763" width="16.7109375" style="375" customWidth="1"/>
    <col min="10764" max="10766" width="13.7109375" style="375" customWidth="1"/>
    <col min="10767" max="10776" width="13.421875" style="375" customWidth="1"/>
    <col min="10777" max="10816" width="13.57421875" style="375" hidden="1" customWidth="1"/>
    <col min="10817" max="11008" width="13.421875" style="375" customWidth="1"/>
    <col min="11009" max="11009" width="4.28125" style="375" customWidth="1"/>
    <col min="11010" max="11010" width="8.8515625" style="375" customWidth="1"/>
    <col min="11011" max="11011" width="16.7109375" style="375" customWidth="1"/>
    <col min="11012" max="11012" width="1.7109375" style="375" customWidth="1"/>
    <col min="11013" max="11013" width="54.421875" style="375" customWidth="1"/>
    <col min="11014" max="11014" width="5.00390625" style="375" customWidth="1"/>
    <col min="11015" max="11015" width="15.00390625" style="375" customWidth="1"/>
    <col min="11016" max="11016" width="14.00390625" style="375" customWidth="1"/>
    <col min="11017" max="11019" width="16.7109375" style="375" customWidth="1"/>
    <col min="11020" max="11022" width="13.7109375" style="375" customWidth="1"/>
    <col min="11023" max="11032" width="13.421875" style="375" customWidth="1"/>
    <col min="11033" max="11072" width="13.57421875" style="375" hidden="1" customWidth="1"/>
    <col min="11073" max="11264" width="13.421875" style="375" customWidth="1"/>
    <col min="11265" max="11265" width="4.28125" style="375" customWidth="1"/>
    <col min="11266" max="11266" width="8.8515625" style="375" customWidth="1"/>
    <col min="11267" max="11267" width="16.7109375" style="375" customWidth="1"/>
    <col min="11268" max="11268" width="1.7109375" style="375" customWidth="1"/>
    <col min="11269" max="11269" width="54.421875" style="375" customWidth="1"/>
    <col min="11270" max="11270" width="5.00390625" style="375" customWidth="1"/>
    <col min="11271" max="11271" width="15.00390625" style="375" customWidth="1"/>
    <col min="11272" max="11272" width="14.00390625" style="375" customWidth="1"/>
    <col min="11273" max="11275" width="16.7109375" style="375" customWidth="1"/>
    <col min="11276" max="11278" width="13.7109375" style="375" customWidth="1"/>
    <col min="11279" max="11288" width="13.421875" style="375" customWidth="1"/>
    <col min="11289" max="11328" width="13.57421875" style="375" hidden="1" customWidth="1"/>
    <col min="11329" max="11520" width="13.421875" style="375" customWidth="1"/>
    <col min="11521" max="11521" width="4.28125" style="375" customWidth="1"/>
    <col min="11522" max="11522" width="8.8515625" style="375" customWidth="1"/>
    <col min="11523" max="11523" width="16.7109375" style="375" customWidth="1"/>
    <col min="11524" max="11524" width="1.7109375" style="375" customWidth="1"/>
    <col min="11525" max="11525" width="54.421875" style="375" customWidth="1"/>
    <col min="11526" max="11526" width="5.00390625" style="375" customWidth="1"/>
    <col min="11527" max="11527" width="15.00390625" style="375" customWidth="1"/>
    <col min="11528" max="11528" width="14.00390625" style="375" customWidth="1"/>
    <col min="11529" max="11531" width="16.7109375" style="375" customWidth="1"/>
    <col min="11532" max="11534" width="13.7109375" style="375" customWidth="1"/>
    <col min="11535" max="11544" width="13.421875" style="375" customWidth="1"/>
    <col min="11545" max="11584" width="13.57421875" style="375" hidden="1" customWidth="1"/>
    <col min="11585" max="11776" width="13.421875" style="375" customWidth="1"/>
    <col min="11777" max="11777" width="4.28125" style="375" customWidth="1"/>
    <col min="11778" max="11778" width="8.8515625" style="375" customWidth="1"/>
    <col min="11779" max="11779" width="16.7109375" style="375" customWidth="1"/>
    <col min="11780" max="11780" width="1.7109375" style="375" customWidth="1"/>
    <col min="11781" max="11781" width="54.421875" style="375" customWidth="1"/>
    <col min="11782" max="11782" width="5.00390625" style="375" customWidth="1"/>
    <col min="11783" max="11783" width="15.00390625" style="375" customWidth="1"/>
    <col min="11784" max="11784" width="14.00390625" style="375" customWidth="1"/>
    <col min="11785" max="11787" width="16.7109375" style="375" customWidth="1"/>
    <col min="11788" max="11790" width="13.7109375" style="375" customWidth="1"/>
    <col min="11791" max="11800" width="13.421875" style="375" customWidth="1"/>
    <col min="11801" max="11840" width="13.57421875" style="375" hidden="1" customWidth="1"/>
    <col min="11841" max="12032" width="13.421875" style="375" customWidth="1"/>
    <col min="12033" max="12033" width="4.28125" style="375" customWidth="1"/>
    <col min="12034" max="12034" width="8.8515625" style="375" customWidth="1"/>
    <col min="12035" max="12035" width="16.7109375" style="375" customWidth="1"/>
    <col min="12036" max="12036" width="1.7109375" style="375" customWidth="1"/>
    <col min="12037" max="12037" width="54.421875" style="375" customWidth="1"/>
    <col min="12038" max="12038" width="5.00390625" style="375" customWidth="1"/>
    <col min="12039" max="12039" width="15.00390625" style="375" customWidth="1"/>
    <col min="12040" max="12040" width="14.00390625" style="375" customWidth="1"/>
    <col min="12041" max="12043" width="16.7109375" style="375" customWidth="1"/>
    <col min="12044" max="12046" width="13.7109375" style="375" customWidth="1"/>
    <col min="12047" max="12056" width="13.421875" style="375" customWidth="1"/>
    <col min="12057" max="12096" width="13.57421875" style="375" hidden="1" customWidth="1"/>
    <col min="12097" max="12288" width="13.421875" style="375" customWidth="1"/>
    <col min="12289" max="12289" width="4.28125" style="375" customWidth="1"/>
    <col min="12290" max="12290" width="8.8515625" style="375" customWidth="1"/>
    <col min="12291" max="12291" width="16.7109375" style="375" customWidth="1"/>
    <col min="12292" max="12292" width="1.7109375" style="375" customWidth="1"/>
    <col min="12293" max="12293" width="54.421875" style="375" customWidth="1"/>
    <col min="12294" max="12294" width="5.00390625" style="375" customWidth="1"/>
    <col min="12295" max="12295" width="15.00390625" style="375" customWidth="1"/>
    <col min="12296" max="12296" width="14.00390625" style="375" customWidth="1"/>
    <col min="12297" max="12299" width="16.7109375" style="375" customWidth="1"/>
    <col min="12300" max="12302" width="13.7109375" style="375" customWidth="1"/>
    <col min="12303" max="12312" width="13.421875" style="375" customWidth="1"/>
    <col min="12313" max="12352" width="13.57421875" style="375" hidden="1" customWidth="1"/>
    <col min="12353" max="12544" width="13.421875" style="375" customWidth="1"/>
    <col min="12545" max="12545" width="4.28125" style="375" customWidth="1"/>
    <col min="12546" max="12546" width="8.8515625" style="375" customWidth="1"/>
    <col min="12547" max="12547" width="16.7109375" style="375" customWidth="1"/>
    <col min="12548" max="12548" width="1.7109375" style="375" customWidth="1"/>
    <col min="12549" max="12549" width="54.421875" style="375" customWidth="1"/>
    <col min="12550" max="12550" width="5.00390625" style="375" customWidth="1"/>
    <col min="12551" max="12551" width="15.00390625" style="375" customWidth="1"/>
    <col min="12552" max="12552" width="14.00390625" style="375" customWidth="1"/>
    <col min="12553" max="12555" width="16.7109375" style="375" customWidth="1"/>
    <col min="12556" max="12558" width="13.7109375" style="375" customWidth="1"/>
    <col min="12559" max="12568" width="13.421875" style="375" customWidth="1"/>
    <col min="12569" max="12608" width="13.57421875" style="375" hidden="1" customWidth="1"/>
    <col min="12609" max="12800" width="13.421875" style="375" customWidth="1"/>
    <col min="12801" max="12801" width="4.28125" style="375" customWidth="1"/>
    <col min="12802" max="12802" width="8.8515625" style="375" customWidth="1"/>
    <col min="12803" max="12803" width="16.7109375" style="375" customWidth="1"/>
    <col min="12804" max="12804" width="1.7109375" style="375" customWidth="1"/>
    <col min="12805" max="12805" width="54.421875" style="375" customWidth="1"/>
    <col min="12806" max="12806" width="5.00390625" style="375" customWidth="1"/>
    <col min="12807" max="12807" width="15.00390625" style="375" customWidth="1"/>
    <col min="12808" max="12808" width="14.00390625" style="375" customWidth="1"/>
    <col min="12809" max="12811" width="16.7109375" style="375" customWidth="1"/>
    <col min="12812" max="12814" width="13.7109375" style="375" customWidth="1"/>
    <col min="12815" max="12824" width="13.421875" style="375" customWidth="1"/>
    <col min="12825" max="12864" width="13.57421875" style="375" hidden="1" customWidth="1"/>
    <col min="12865" max="13056" width="13.421875" style="375" customWidth="1"/>
    <col min="13057" max="13057" width="4.28125" style="375" customWidth="1"/>
    <col min="13058" max="13058" width="8.8515625" style="375" customWidth="1"/>
    <col min="13059" max="13059" width="16.7109375" style="375" customWidth="1"/>
    <col min="13060" max="13060" width="1.7109375" style="375" customWidth="1"/>
    <col min="13061" max="13061" width="54.421875" style="375" customWidth="1"/>
    <col min="13062" max="13062" width="5.00390625" style="375" customWidth="1"/>
    <col min="13063" max="13063" width="15.00390625" style="375" customWidth="1"/>
    <col min="13064" max="13064" width="14.00390625" style="375" customWidth="1"/>
    <col min="13065" max="13067" width="16.7109375" style="375" customWidth="1"/>
    <col min="13068" max="13070" width="13.7109375" style="375" customWidth="1"/>
    <col min="13071" max="13080" width="13.421875" style="375" customWidth="1"/>
    <col min="13081" max="13120" width="13.57421875" style="375" hidden="1" customWidth="1"/>
    <col min="13121" max="13312" width="13.421875" style="375" customWidth="1"/>
    <col min="13313" max="13313" width="4.28125" style="375" customWidth="1"/>
    <col min="13314" max="13314" width="8.8515625" style="375" customWidth="1"/>
    <col min="13315" max="13315" width="16.7109375" style="375" customWidth="1"/>
    <col min="13316" max="13316" width="1.7109375" style="375" customWidth="1"/>
    <col min="13317" max="13317" width="54.421875" style="375" customWidth="1"/>
    <col min="13318" max="13318" width="5.00390625" style="375" customWidth="1"/>
    <col min="13319" max="13319" width="15.00390625" style="375" customWidth="1"/>
    <col min="13320" max="13320" width="14.00390625" style="375" customWidth="1"/>
    <col min="13321" max="13323" width="16.7109375" style="375" customWidth="1"/>
    <col min="13324" max="13326" width="13.7109375" style="375" customWidth="1"/>
    <col min="13327" max="13336" width="13.421875" style="375" customWidth="1"/>
    <col min="13337" max="13376" width="13.57421875" style="375" hidden="1" customWidth="1"/>
    <col min="13377" max="13568" width="13.421875" style="375" customWidth="1"/>
    <col min="13569" max="13569" width="4.28125" style="375" customWidth="1"/>
    <col min="13570" max="13570" width="8.8515625" style="375" customWidth="1"/>
    <col min="13571" max="13571" width="16.7109375" style="375" customWidth="1"/>
    <col min="13572" max="13572" width="1.7109375" style="375" customWidth="1"/>
    <col min="13573" max="13573" width="54.421875" style="375" customWidth="1"/>
    <col min="13574" max="13574" width="5.00390625" style="375" customWidth="1"/>
    <col min="13575" max="13575" width="15.00390625" style="375" customWidth="1"/>
    <col min="13576" max="13576" width="14.00390625" style="375" customWidth="1"/>
    <col min="13577" max="13579" width="16.7109375" style="375" customWidth="1"/>
    <col min="13580" max="13582" width="13.7109375" style="375" customWidth="1"/>
    <col min="13583" max="13592" width="13.421875" style="375" customWidth="1"/>
    <col min="13593" max="13632" width="13.57421875" style="375" hidden="1" customWidth="1"/>
    <col min="13633" max="13824" width="13.421875" style="375" customWidth="1"/>
    <col min="13825" max="13825" width="4.28125" style="375" customWidth="1"/>
    <col min="13826" max="13826" width="8.8515625" style="375" customWidth="1"/>
    <col min="13827" max="13827" width="16.7109375" style="375" customWidth="1"/>
    <col min="13828" max="13828" width="1.7109375" style="375" customWidth="1"/>
    <col min="13829" max="13829" width="54.421875" style="375" customWidth="1"/>
    <col min="13830" max="13830" width="5.00390625" style="375" customWidth="1"/>
    <col min="13831" max="13831" width="15.00390625" style="375" customWidth="1"/>
    <col min="13832" max="13832" width="14.00390625" style="375" customWidth="1"/>
    <col min="13833" max="13835" width="16.7109375" style="375" customWidth="1"/>
    <col min="13836" max="13838" width="13.7109375" style="375" customWidth="1"/>
    <col min="13839" max="13848" width="13.421875" style="375" customWidth="1"/>
    <col min="13849" max="13888" width="13.57421875" style="375" hidden="1" customWidth="1"/>
    <col min="13889" max="14080" width="13.421875" style="375" customWidth="1"/>
    <col min="14081" max="14081" width="4.28125" style="375" customWidth="1"/>
    <col min="14082" max="14082" width="8.8515625" style="375" customWidth="1"/>
    <col min="14083" max="14083" width="16.7109375" style="375" customWidth="1"/>
    <col min="14084" max="14084" width="1.7109375" style="375" customWidth="1"/>
    <col min="14085" max="14085" width="54.421875" style="375" customWidth="1"/>
    <col min="14086" max="14086" width="5.00390625" style="375" customWidth="1"/>
    <col min="14087" max="14087" width="15.00390625" style="375" customWidth="1"/>
    <col min="14088" max="14088" width="14.00390625" style="375" customWidth="1"/>
    <col min="14089" max="14091" width="16.7109375" style="375" customWidth="1"/>
    <col min="14092" max="14094" width="13.7109375" style="375" customWidth="1"/>
    <col min="14095" max="14104" width="13.421875" style="375" customWidth="1"/>
    <col min="14105" max="14144" width="13.57421875" style="375" hidden="1" customWidth="1"/>
    <col min="14145" max="14336" width="13.421875" style="375" customWidth="1"/>
    <col min="14337" max="14337" width="4.28125" style="375" customWidth="1"/>
    <col min="14338" max="14338" width="8.8515625" style="375" customWidth="1"/>
    <col min="14339" max="14339" width="16.7109375" style="375" customWidth="1"/>
    <col min="14340" max="14340" width="1.7109375" style="375" customWidth="1"/>
    <col min="14341" max="14341" width="54.421875" style="375" customWidth="1"/>
    <col min="14342" max="14342" width="5.00390625" style="375" customWidth="1"/>
    <col min="14343" max="14343" width="15.00390625" style="375" customWidth="1"/>
    <col min="14344" max="14344" width="14.00390625" style="375" customWidth="1"/>
    <col min="14345" max="14347" width="16.7109375" style="375" customWidth="1"/>
    <col min="14348" max="14350" width="13.7109375" style="375" customWidth="1"/>
    <col min="14351" max="14360" width="13.421875" style="375" customWidth="1"/>
    <col min="14361" max="14400" width="13.57421875" style="375" hidden="1" customWidth="1"/>
    <col min="14401" max="14592" width="13.421875" style="375" customWidth="1"/>
    <col min="14593" max="14593" width="4.28125" style="375" customWidth="1"/>
    <col min="14594" max="14594" width="8.8515625" style="375" customWidth="1"/>
    <col min="14595" max="14595" width="16.7109375" style="375" customWidth="1"/>
    <col min="14596" max="14596" width="1.7109375" style="375" customWidth="1"/>
    <col min="14597" max="14597" width="54.421875" style="375" customWidth="1"/>
    <col min="14598" max="14598" width="5.00390625" style="375" customWidth="1"/>
    <col min="14599" max="14599" width="15.00390625" style="375" customWidth="1"/>
    <col min="14600" max="14600" width="14.00390625" style="375" customWidth="1"/>
    <col min="14601" max="14603" width="16.7109375" style="375" customWidth="1"/>
    <col min="14604" max="14606" width="13.7109375" style="375" customWidth="1"/>
    <col min="14607" max="14616" width="13.421875" style="375" customWidth="1"/>
    <col min="14617" max="14656" width="13.57421875" style="375" hidden="1" customWidth="1"/>
    <col min="14657" max="14848" width="13.421875" style="375" customWidth="1"/>
    <col min="14849" max="14849" width="4.28125" style="375" customWidth="1"/>
    <col min="14850" max="14850" width="8.8515625" style="375" customWidth="1"/>
    <col min="14851" max="14851" width="16.7109375" style="375" customWidth="1"/>
    <col min="14852" max="14852" width="1.7109375" style="375" customWidth="1"/>
    <col min="14853" max="14853" width="54.421875" style="375" customWidth="1"/>
    <col min="14854" max="14854" width="5.00390625" style="375" customWidth="1"/>
    <col min="14855" max="14855" width="15.00390625" style="375" customWidth="1"/>
    <col min="14856" max="14856" width="14.00390625" style="375" customWidth="1"/>
    <col min="14857" max="14859" width="16.7109375" style="375" customWidth="1"/>
    <col min="14860" max="14862" width="13.7109375" style="375" customWidth="1"/>
    <col min="14863" max="14872" width="13.421875" style="375" customWidth="1"/>
    <col min="14873" max="14912" width="13.57421875" style="375" hidden="1" customWidth="1"/>
    <col min="14913" max="15104" width="13.421875" style="375" customWidth="1"/>
    <col min="15105" max="15105" width="4.28125" style="375" customWidth="1"/>
    <col min="15106" max="15106" width="8.8515625" style="375" customWidth="1"/>
    <col min="15107" max="15107" width="16.7109375" style="375" customWidth="1"/>
    <col min="15108" max="15108" width="1.7109375" style="375" customWidth="1"/>
    <col min="15109" max="15109" width="54.421875" style="375" customWidth="1"/>
    <col min="15110" max="15110" width="5.00390625" style="375" customWidth="1"/>
    <col min="15111" max="15111" width="15.00390625" style="375" customWidth="1"/>
    <col min="15112" max="15112" width="14.00390625" style="375" customWidth="1"/>
    <col min="15113" max="15115" width="16.7109375" style="375" customWidth="1"/>
    <col min="15116" max="15118" width="13.7109375" style="375" customWidth="1"/>
    <col min="15119" max="15128" width="13.421875" style="375" customWidth="1"/>
    <col min="15129" max="15168" width="13.57421875" style="375" hidden="1" customWidth="1"/>
    <col min="15169" max="15360" width="13.421875" style="375" customWidth="1"/>
    <col min="15361" max="15361" width="4.28125" style="375" customWidth="1"/>
    <col min="15362" max="15362" width="8.8515625" style="375" customWidth="1"/>
    <col min="15363" max="15363" width="16.7109375" style="375" customWidth="1"/>
    <col min="15364" max="15364" width="1.7109375" style="375" customWidth="1"/>
    <col min="15365" max="15365" width="54.421875" style="375" customWidth="1"/>
    <col min="15366" max="15366" width="5.00390625" style="375" customWidth="1"/>
    <col min="15367" max="15367" width="15.00390625" style="375" customWidth="1"/>
    <col min="15368" max="15368" width="14.00390625" style="375" customWidth="1"/>
    <col min="15369" max="15371" width="16.7109375" style="375" customWidth="1"/>
    <col min="15372" max="15374" width="13.7109375" style="375" customWidth="1"/>
    <col min="15375" max="15384" width="13.421875" style="375" customWidth="1"/>
    <col min="15385" max="15424" width="13.57421875" style="375" hidden="1" customWidth="1"/>
    <col min="15425" max="15616" width="13.421875" style="375" customWidth="1"/>
    <col min="15617" max="15617" width="4.28125" style="375" customWidth="1"/>
    <col min="15618" max="15618" width="8.8515625" style="375" customWidth="1"/>
    <col min="15619" max="15619" width="16.7109375" style="375" customWidth="1"/>
    <col min="15620" max="15620" width="1.7109375" style="375" customWidth="1"/>
    <col min="15621" max="15621" width="54.421875" style="375" customWidth="1"/>
    <col min="15622" max="15622" width="5.00390625" style="375" customWidth="1"/>
    <col min="15623" max="15623" width="15.00390625" style="375" customWidth="1"/>
    <col min="15624" max="15624" width="14.00390625" style="375" customWidth="1"/>
    <col min="15625" max="15627" width="16.7109375" style="375" customWidth="1"/>
    <col min="15628" max="15630" width="13.7109375" style="375" customWidth="1"/>
    <col min="15631" max="15640" width="13.421875" style="375" customWidth="1"/>
    <col min="15641" max="15680" width="13.57421875" style="375" hidden="1" customWidth="1"/>
    <col min="15681" max="15872" width="13.421875" style="375" customWidth="1"/>
    <col min="15873" max="15873" width="4.28125" style="375" customWidth="1"/>
    <col min="15874" max="15874" width="8.8515625" style="375" customWidth="1"/>
    <col min="15875" max="15875" width="16.7109375" style="375" customWidth="1"/>
    <col min="15876" max="15876" width="1.7109375" style="375" customWidth="1"/>
    <col min="15877" max="15877" width="54.421875" style="375" customWidth="1"/>
    <col min="15878" max="15878" width="5.00390625" style="375" customWidth="1"/>
    <col min="15879" max="15879" width="15.00390625" style="375" customWidth="1"/>
    <col min="15880" max="15880" width="14.00390625" style="375" customWidth="1"/>
    <col min="15881" max="15883" width="16.7109375" style="375" customWidth="1"/>
    <col min="15884" max="15886" width="13.7109375" style="375" customWidth="1"/>
    <col min="15887" max="15896" width="13.421875" style="375" customWidth="1"/>
    <col min="15897" max="15936" width="13.57421875" style="375" hidden="1" customWidth="1"/>
    <col min="15937" max="16128" width="13.421875" style="375" customWidth="1"/>
    <col min="16129" max="16129" width="4.28125" style="375" customWidth="1"/>
    <col min="16130" max="16130" width="8.8515625" style="375" customWidth="1"/>
    <col min="16131" max="16131" width="16.7109375" style="375" customWidth="1"/>
    <col min="16132" max="16132" width="1.7109375" style="375" customWidth="1"/>
    <col min="16133" max="16133" width="54.421875" style="375" customWidth="1"/>
    <col min="16134" max="16134" width="5.00390625" style="375" customWidth="1"/>
    <col min="16135" max="16135" width="15.00390625" style="375" customWidth="1"/>
    <col min="16136" max="16136" width="14.00390625" style="375" customWidth="1"/>
    <col min="16137" max="16139" width="16.7109375" style="375" customWidth="1"/>
    <col min="16140" max="16142" width="13.7109375" style="375" customWidth="1"/>
    <col min="16143" max="16152" width="13.421875" style="375" customWidth="1"/>
    <col min="16153" max="16192" width="13.57421875" style="375" hidden="1" customWidth="1"/>
    <col min="16193" max="16384" width="13.421875" style="375" customWidth="1"/>
  </cols>
  <sheetData>
    <row r="1" spans="1:14" ht="72.95" customHeight="1">
      <c r="A1" s="373" t="s">
        <v>4653</v>
      </c>
      <c r="B1" s="374"/>
      <c r="C1" s="374"/>
      <c r="D1" s="374"/>
      <c r="E1" s="374"/>
      <c r="F1" s="374"/>
      <c r="G1" s="374"/>
      <c r="H1" s="374"/>
      <c r="I1" s="374"/>
      <c r="J1" s="374"/>
      <c r="K1" s="374"/>
      <c r="L1" s="374"/>
      <c r="M1" s="374"/>
      <c r="N1" s="374"/>
    </row>
    <row r="2" spans="1:15" ht="12">
      <c r="A2" s="376" t="s">
        <v>4654</v>
      </c>
      <c r="B2" s="377"/>
      <c r="C2" s="377"/>
      <c r="D2" s="378" t="s">
        <v>4655</v>
      </c>
      <c r="E2" s="379"/>
      <c r="F2" s="380" t="s">
        <v>4656</v>
      </c>
      <c r="G2" s="377"/>
      <c r="H2" s="380" t="s">
        <v>4598</v>
      </c>
      <c r="I2" s="381" t="s">
        <v>4657</v>
      </c>
      <c r="J2" s="381" t="s">
        <v>4658</v>
      </c>
      <c r="K2" s="377"/>
      <c r="L2" s="377"/>
      <c r="M2" s="377"/>
      <c r="N2" s="382"/>
      <c r="O2" s="383"/>
    </row>
    <row r="3" spans="1:15" ht="12">
      <c r="A3" s="384"/>
      <c r="B3" s="385"/>
      <c r="C3" s="385"/>
      <c r="D3" s="386"/>
      <c r="E3" s="386"/>
      <c r="F3" s="385"/>
      <c r="G3" s="385"/>
      <c r="H3" s="385"/>
      <c r="I3" s="385"/>
      <c r="J3" s="385"/>
      <c r="K3" s="385"/>
      <c r="L3" s="385"/>
      <c r="M3" s="385"/>
      <c r="N3" s="387"/>
      <c r="O3" s="383"/>
    </row>
    <row r="4" spans="1:15" ht="12">
      <c r="A4" s="388" t="s">
        <v>4659</v>
      </c>
      <c r="B4" s="385"/>
      <c r="C4" s="385"/>
      <c r="D4" s="389" t="s">
        <v>4660</v>
      </c>
      <c r="E4" s="385"/>
      <c r="F4" s="390" t="s">
        <v>4661</v>
      </c>
      <c r="G4" s="385"/>
      <c r="H4" s="390" t="s">
        <v>4598</v>
      </c>
      <c r="I4" s="389" t="s">
        <v>32</v>
      </c>
      <c r="J4" s="389" t="s">
        <v>4662</v>
      </c>
      <c r="K4" s="385"/>
      <c r="L4" s="385"/>
      <c r="M4" s="385"/>
      <c r="N4" s="387"/>
      <c r="O4" s="383"/>
    </row>
    <row r="5" spans="1:15" ht="12">
      <c r="A5" s="384"/>
      <c r="B5" s="385"/>
      <c r="C5" s="385"/>
      <c r="D5" s="385"/>
      <c r="E5" s="385"/>
      <c r="F5" s="385"/>
      <c r="G5" s="385"/>
      <c r="H5" s="385"/>
      <c r="I5" s="385"/>
      <c r="J5" s="385"/>
      <c r="K5" s="385"/>
      <c r="L5" s="385"/>
      <c r="M5" s="385"/>
      <c r="N5" s="387"/>
      <c r="O5" s="383"/>
    </row>
    <row r="6" spans="1:15" ht="12">
      <c r="A6" s="388" t="s">
        <v>4663</v>
      </c>
      <c r="B6" s="385"/>
      <c r="C6" s="385"/>
      <c r="D6" s="389" t="s">
        <v>4664</v>
      </c>
      <c r="E6" s="385"/>
      <c r="F6" s="390" t="s">
        <v>4665</v>
      </c>
      <c r="G6" s="385"/>
      <c r="H6" s="390" t="s">
        <v>4598</v>
      </c>
      <c r="I6" s="389" t="s">
        <v>4666</v>
      </c>
      <c r="J6" s="390" t="s">
        <v>4667</v>
      </c>
      <c r="K6" s="385"/>
      <c r="L6" s="385"/>
      <c r="M6" s="385"/>
      <c r="N6" s="387"/>
      <c r="O6" s="383"/>
    </row>
    <row r="7" spans="1:15" ht="12">
      <c r="A7" s="384"/>
      <c r="B7" s="385"/>
      <c r="C7" s="385"/>
      <c r="D7" s="385"/>
      <c r="E7" s="385"/>
      <c r="F7" s="385"/>
      <c r="G7" s="385"/>
      <c r="H7" s="385"/>
      <c r="I7" s="385"/>
      <c r="J7" s="385"/>
      <c r="K7" s="385"/>
      <c r="L7" s="385"/>
      <c r="M7" s="385"/>
      <c r="N7" s="387"/>
      <c r="O7" s="383"/>
    </row>
    <row r="8" spans="1:15" ht="12">
      <c r="A8" s="388" t="s">
        <v>4668</v>
      </c>
      <c r="B8" s="385"/>
      <c r="C8" s="385"/>
      <c r="D8" s="389">
        <v>8013249</v>
      </c>
      <c r="E8" s="385"/>
      <c r="F8" s="390" t="s">
        <v>4669</v>
      </c>
      <c r="G8" s="385"/>
      <c r="H8" s="390" t="s">
        <v>4670</v>
      </c>
      <c r="I8" s="389" t="s">
        <v>4671</v>
      </c>
      <c r="J8" s="389" t="s">
        <v>4662</v>
      </c>
      <c r="K8" s="385"/>
      <c r="L8" s="385"/>
      <c r="M8" s="385"/>
      <c r="N8" s="387"/>
      <c r="O8" s="383"/>
    </row>
    <row r="9" spans="1:15" ht="13.5" thickBot="1">
      <c r="A9" s="391"/>
      <c r="B9" s="392"/>
      <c r="C9" s="392"/>
      <c r="D9" s="392"/>
      <c r="E9" s="392"/>
      <c r="F9" s="392"/>
      <c r="G9" s="392"/>
      <c r="H9" s="392"/>
      <c r="I9" s="392"/>
      <c r="J9" s="392"/>
      <c r="K9" s="392"/>
      <c r="L9" s="392"/>
      <c r="M9" s="392"/>
      <c r="N9" s="393"/>
      <c r="O9" s="383"/>
    </row>
    <row r="10" spans="1:64" ht="12">
      <c r="A10" s="394" t="s">
        <v>4672</v>
      </c>
      <c r="B10" s="395" t="s">
        <v>4457</v>
      </c>
      <c r="C10" s="395" t="s">
        <v>58</v>
      </c>
      <c r="D10" s="396" t="s">
        <v>4673</v>
      </c>
      <c r="E10" s="397"/>
      <c r="F10" s="395" t="s">
        <v>164</v>
      </c>
      <c r="G10" s="398" t="s">
        <v>165</v>
      </c>
      <c r="H10" s="399" t="s">
        <v>4674</v>
      </c>
      <c r="I10" s="400" t="s">
        <v>4675</v>
      </c>
      <c r="J10" s="401"/>
      <c r="K10" s="402"/>
      <c r="L10" s="400" t="s">
        <v>4676</v>
      </c>
      <c r="M10" s="402"/>
      <c r="N10" s="403" t="s">
        <v>4677</v>
      </c>
      <c r="O10" s="404"/>
      <c r="BK10" s="405" t="s">
        <v>4678</v>
      </c>
      <c r="BL10" s="406" t="s">
        <v>4679</v>
      </c>
    </row>
    <row r="11" spans="1:62" ht="13.5" thickBot="1">
      <c r="A11" s="407" t="s">
        <v>4598</v>
      </c>
      <c r="B11" s="408" t="s">
        <v>4598</v>
      </c>
      <c r="C11" s="408" t="s">
        <v>4598</v>
      </c>
      <c r="D11" s="409" t="s">
        <v>4680</v>
      </c>
      <c r="E11" s="410"/>
      <c r="F11" s="408" t="s">
        <v>4598</v>
      </c>
      <c r="G11" s="408" t="s">
        <v>4598</v>
      </c>
      <c r="H11" s="411" t="s">
        <v>4681</v>
      </c>
      <c r="I11" s="412" t="s">
        <v>4682</v>
      </c>
      <c r="J11" s="413" t="s">
        <v>4683</v>
      </c>
      <c r="K11" s="414" t="s">
        <v>4684</v>
      </c>
      <c r="L11" s="412" t="s">
        <v>4685</v>
      </c>
      <c r="M11" s="414" t="s">
        <v>4684</v>
      </c>
      <c r="N11" s="415" t="s">
        <v>4686</v>
      </c>
      <c r="O11" s="404"/>
      <c r="Z11" s="405" t="s">
        <v>4687</v>
      </c>
      <c r="AA11" s="405" t="s">
        <v>4688</v>
      </c>
      <c r="AB11" s="405" t="s">
        <v>4689</v>
      </c>
      <c r="AC11" s="405" t="s">
        <v>4690</v>
      </c>
      <c r="AD11" s="405" t="s">
        <v>4691</v>
      </c>
      <c r="AE11" s="405" t="s">
        <v>4692</v>
      </c>
      <c r="AF11" s="405" t="s">
        <v>4693</v>
      </c>
      <c r="AG11" s="405" t="s">
        <v>4694</v>
      </c>
      <c r="AH11" s="405" t="s">
        <v>4695</v>
      </c>
      <c r="BH11" s="405" t="s">
        <v>4696</v>
      </c>
      <c r="BI11" s="405" t="s">
        <v>4697</v>
      </c>
      <c r="BJ11" s="405" t="s">
        <v>4698</v>
      </c>
    </row>
    <row r="12" spans="1:47" ht="12">
      <c r="A12" s="416"/>
      <c r="B12" s="417"/>
      <c r="C12" s="417" t="s">
        <v>246</v>
      </c>
      <c r="D12" s="418" t="s">
        <v>4699</v>
      </c>
      <c r="E12" s="419"/>
      <c r="F12" s="420" t="s">
        <v>4598</v>
      </c>
      <c r="G12" s="420" t="s">
        <v>4598</v>
      </c>
      <c r="H12" s="420" t="s">
        <v>4598</v>
      </c>
      <c r="I12" s="421">
        <f>SUM(I13:I27)</f>
        <v>0</v>
      </c>
      <c r="J12" s="421">
        <f>SUM(J13:J27)</f>
        <v>0</v>
      </c>
      <c r="K12" s="421">
        <f>SUM(K13:K27)</f>
        <v>0</v>
      </c>
      <c r="L12" s="422"/>
      <c r="M12" s="421">
        <f>SUM(M13:M27)</f>
        <v>0.014580000000000001</v>
      </c>
      <c r="N12" s="423"/>
      <c r="O12" s="383"/>
      <c r="AI12" s="405"/>
      <c r="AS12" s="424">
        <f>SUM(AJ13:AJ27)</f>
        <v>0</v>
      </c>
      <c r="AT12" s="424">
        <f>SUM(AK13:AK27)</f>
        <v>0</v>
      </c>
      <c r="AU12" s="424">
        <f>SUM(AL13:AL27)</f>
        <v>0</v>
      </c>
    </row>
    <row r="13" spans="1:64" ht="12">
      <c r="A13" s="425" t="s">
        <v>85</v>
      </c>
      <c r="B13" s="426"/>
      <c r="C13" s="426" t="s">
        <v>4700</v>
      </c>
      <c r="D13" s="427" t="s">
        <v>4701</v>
      </c>
      <c r="E13" s="428"/>
      <c r="F13" s="426" t="s">
        <v>476</v>
      </c>
      <c r="G13" s="429">
        <v>15</v>
      </c>
      <c r="H13" s="429"/>
      <c r="I13" s="429">
        <f>G13*AO13</f>
        <v>0</v>
      </c>
      <c r="J13" s="429">
        <f>G13*AP13</f>
        <v>0</v>
      </c>
      <c r="K13" s="429">
        <f>G13*H13</f>
        <v>0</v>
      </c>
      <c r="L13" s="429">
        <v>2E-05</v>
      </c>
      <c r="M13" s="429">
        <f>G13*L13</f>
        <v>0.00030000000000000003</v>
      </c>
      <c r="N13" s="430" t="s">
        <v>4702</v>
      </c>
      <c r="O13" s="383"/>
      <c r="Z13" s="431">
        <f>IF(AQ13="5",BJ13,0)</f>
        <v>0</v>
      </c>
      <c r="AB13" s="431">
        <f>IF(AQ13="1",BH13,0)</f>
        <v>0</v>
      </c>
      <c r="AC13" s="431">
        <f>IF(AQ13="1",BI13,0)</f>
        <v>0</v>
      </c>
      <c r="AD13" s="431">
        <f>IF(AQ13="7",BH13,0)</f>
        <v>0</v>
      </c>
      <c r="AE13" s="431">
        <f>IF(AQ13="7",BI13,0)</f>
        <v>0</v>
      </c>
      <c r="AF13" s="431">
        <f>IF(AQ13="2",BH13,0)</f>
        <v>0</v>
      </c>
      <c r="AG13" s="431">
        <f>IF(AQ13="2",BI13,0)</f>
        <v>0</v>
      </c>
      <c r="AH13" s="431">
        <f>IF(AQ13="0",BJ13,0)</f>
        <v>0</v>
      </c>
      <c r="AI13" s="405"/>
      <c r="AJ13" s="429">
        <f>IF(AN13=0,K13,0)</f>
        <v>0</v>
      </c>
      <c r="AK13" s="429">
        <f>IF(AN13=15,K13,0)</f>
        <v>0</v>
      </c>
      <c r="AL13" s="429">
        <f>IF(AN13=21,K13,0)</f>
        <v>0</v>
      </c>
      <c r="AN13" s="431">
        <v>21</v>
      </c>
      <c r="AO13" s="431">
        <f>H13*0.59203821656051</f>
        <v>0</v>
      </c>
      <c r="AP13" s="431">
        <f>H13*(1-0.59203821656051)</f>
        <v>0</v>
      </c>
      <c r="AQ13" s="432" t="s">
        <v>241</v>
      </c>
      <c r="AV13" s="431">
        <f>AW13+AX13</f>
        <v>0</v>
      </c>
      <c r="AW13" s="431">
        <f>G13*AO13</f>
        <v>0</v>
      </c>
      <c r="AX13" s="431">
        <f>G13*AP13</f>
        <v>0</v>
      </c>
      <c r="AY13" s="433" t="s">
        <v>4703</v>
      </c>
      <c r="AZ13" s="433" t="s">
        <v>4704</v>
      </c>
      <c r="BA13" s="405" t="s">
        <v>4705</v>
      </c>
      <c r="BC13" s="431">
        <f>AW13+AX13</f>
        <v>0</v>
      </c>
      <c r="BD13" s="431">
        <f>H13/(100-BE13)*100</f>
        <v>0</v>
      </c>
      <c r="BE13" s="431">
        <v>0</v>
      </c>
      <c r="BF13" s="431">
        <f>M13</f>
        <v>0.00030000000000000003</v>
      </c>
      <c r="BH13" s="429">
        <f>G13*AO13</f>
        <v>0</v>
      </c>
      <c r="BI13" s="429">
        <f>G13*AP13</f>
        <v>0</v>
      </c>
      <c r="BJ13" s="429">
        <f>G13*H13</f>
        <v>0</v>
      </c>
      <c r="BK13" s="429" t="s">
        <v>813</v>
      </c>
      <c r="BL13" s="431">
        <v>722</v>
      </c>
    </row>
    <row r="14" spans="1:15" ht="12">
      <c r="A14" s="383"/>
      <c r="C14" s="434" t="s">
        <v>4706</v>
      </c>
      <c r="D14" s="435" t="s">
        <v>4707</v>
      </c>
      <c r="E14" s="436"/>
      <c r="F14" s="436"/>
      <c r="G14" s="436"/>
      <c r="H14" s="436"/>
      <c r="I14" s="436"/>
      <c r="J14" s="436"/>
      <c r="K14" s="436"/>
      <c r="L14" s="436"/>
      <c r="M14" s="436"/>
      <c r="N14" s="437"/>
      <c r="O14" s="383"/>
    </row>
    <row r="15" spans="1:64" ht="12">
      <c r="A15" s="425" t="s">
        <v>87</v>
      </c>
      <c r="B15" s="426"/>
      <c r="C15" s="426" t="s">
        <v>4708</v>
      </c>
      <c r="D15" s="427" t="s">
        <v>4709</v>
      </c>
      <c r="E15" s="428"/>
      <c r="F15" s="426" t="s">
        <v>476</v>
      </c>
      <c r="G15" s="429">
        <v>50</v>
      </c>
      <c r="H15" s="429"/>
      <c r="I15" s="429">
        <f>G15*AO15</f>
        <v>0</v>
      </c>
      <c r="J15" s="429">
        <f>G15*AP15</f>
        <v>0</v>
      </c>
      <c r="K15" s="429">
        <f>G15*H15</f>
        <v>0</v>
      </c>
      <c r="L15" s="429">
        <v>2E-05</v>
      </c>
      <c r="M15" s="429">
        <f>G15*L15</f>
        <v>0.001</v>
      </c>
      <c r="N15" s="430" t="s">
        <v>4702</v>
      </c>
      <c r="O15" s="383"/>
      <c r="Z15" s="431">
        <f>IF(AQ15="5",BJ15,0)</f>
        <v>0</v>
      </c>
      <c r="AB15" s="431">
        <f>IF(AQ15="1",BH15,0)</f>
        <v>0</v>
      </c>
      <c r="AC15" s="431">
        <f>IF(AQ15="1",BI15,0)</f>
        <v>0</v>
      </c>
      <c r="AD15" s="431">
        <f>IF(AQ15="7",BH15,0)</f>
        <v>0</v>
      </c>
      <c r="AE15" s="431">
        <f>IF(AQ15="7",BI15,0)</f>
        <v>0</v>
      </c>
      <c r="AF15" s="431">
        <f>IF(AQ15="2",BH15,0)</f>
        <v>0</v>
      </c>
      <c r="AG15" s="431">
        <f>IF(AQ15="2",BI15,0)</f>
        <v>0</v>
      </c>
      <c r="AH15" s="431">
        <f>IF(AQ15="0",BJ15,0)</f>
        <v>0</v>
      </c>
      <c r="AI15" s="405"/>
      <c r="AJ15" s="429">
        <f>IF(AN15=0,K15,0)</f>
        <v>0</v>
      </c>
      <c r="AK15" s="429">
        <f>IF(AN15=15,K15,0)</f>
        <v>0</v>
      </c>
      <c r="AL15" s="429">
        <f>IF(AN15=21,K15,0)</f>
        <v>0</v>
      </c>
      <c r="AN15" s="431">
        <v>21</v>
      </c>
      <c r="AO15" s="431">
        <f>H15*0.614156626506024</f>
        <v>0</v>
      </c>
      <c r="AP15" s="431">
        <f>H15*(1-0.614156626506024)</f>
        <v>0</v>
      </c>
      <c r="AQ15" s="432" t="s">
        <v>241</v>
      </c>
      <c r="AV15" s="431">
        <f>AW15+AX15</f>
        <v>0</v>
      </c>
      <c r="AW15" s="431">
        <f>G15*AO15</f>
        <v>0</v>
      </c>
      <c r="AX15" s="431">
        <f>G15*AP15</f>
        <v>0</v>
      </c>
      <c r="AY15" s="433" t="s">
        <v>4703</v>
      </c>
      <c r="AZ15" s="433" t="s">
        <v>4704</v>
      </c>
      <c r="BA15" s="405" t="s">
        <v>4705</v>
      </c>
      <c r="BC15" s="431">
        <f>AW15+AX15</f>
        <v>0</v>
      </c>
      <c r="BD15" s="431">
        <f>H15/(100-BE15)*100</f>
        <v>0</v>
      </c>
      <c r="BE15" s="431">
        <v>0</v>
      </c>
      <c r="BF15" s="431">
        <f>M15</f>
        <v>0.001</v>
      </c>
      <c r="BH15" s="429">
        <f>G15*AO15</f>
        <v>0</v>
      </c>
      <c r="BI15" s="429">
        <f>G15*AP15</f>
        <v>0</v>
      </c>
      <c r="BJ15" s="429">
        <f>G15*H15</f>
        <v>0</v>
      </c>
      <c r="BK15" s="429" t="s">
        <v>813</v>
      </c>
      <c r="BL15" s="431">
        <v>722</v>
      </c>
    </row>
    <row r="16" spans="1:15" ht="12">
      <c r="A16" s="383"/>
      <c r="C16" s="434" t="s">
        <v>4706</v>
      </c>
      <c r="D16" s="435" t="s">
        <v>4710</v>
      </c>
      <c r="E16" s="436"/>
      <c r="F16" s="436"/>
      <c r="G16" s="436"/>
      <c r="H16" s="436"/>
      <c r="I16" s="436"/>
      <c r="J16" s="436"/>
      <c r="K16" s="436"/>
      <c r="L16" s="436"/>
      <c r="M16" s="436"/>
      <c r="N16" s="437"/>
      <c r="O16" s="383"/>
    </row>
    <row r="17" spans="1:64" ht="12">
      <c r="A17" s="425" t="s">
        <v>198</v>
      </c>
      <c r="B17" s="426"/>
      <c r="C17" s="426" t="s">
        <v>4711</v>
      </c>
      <c r="D17" s="427" t="s">
        <v>4712</v>
      </c>
      <c r="E17" s="428"/>
      <c r="F17" s="426" t="s">
        <v>476</v>
      </c>
      <c r="G17" s="429">
        <v>10</v>
      </c>
      <c r="H17" s="429"/>
      <c r="I17" s="429">
        <f>G17*AO17</f>
        <v>0</v>
      </c>
      <c r="J17" s="429">
        <f>G17*AP17</f>
        <v>0</v>
      </c>
      <c r="K17" s="429">
        <f>G17*H17</f>
        <v>0</v>
      </c>
      <c r="L17" s="429">
        <v>3E-05</v>
      </c>
      <c r="M17" s="429">
        <f>G17*L17</f>
        <v>0.00030000000000000003</v>
      </c>
      <c r="N17" s="430" t="s">
        <v>4702</v>
      </c>
      <c r="O17" s="383"/>
      <c r="Z17" s="431">
        <f>IF(AQ17="5",BJ17,0)</f>
        <v>0</v>
      </c>
      <c r="AB17" s="431">
        <f>IF(AQ17="1",BH17,0)</f>
        <v>0</v>
      </c>
      <c r="AC17" s="431">
        <f>IF(AQ17="1",BI17,0)</f>
        <v>0</v>
      </c>
      <c r="AD17" s="431">
        <f>IF(AQ17="7",BH17,0)</f>
        <v>0</v>
      </c>
      <c r="AE17" s="431">
        <f>IF(AQ17="7",BI17,0)</f>
        <v>0</v>
      </c>
      <c r="AF17" s="431">
        <f>IF(AQ17="2",BH17,0)</f>
        <v>0</v>
      </c>
      <c r="AG17" s="431">
        <f>IF(AQ17="2",BI17,0)</f>
        <v>0</v>
      </c>
      <c r="AH17" s="431">
        <f>IF(AQ17="0",BJ17,0)</f>
        <v>0</v>
      </c>
      <c r="AI17" s="405"/>
      <c r="AJ17" s="429">
        <f>IF(AN17=0,K17,0)</f>
        <v>0</v>
      </c>
      <c r="AK17" s="429">
        <f>IF(AN17=15,K17,0)</f>
        <v>0</v>
      </c>
      <c r="AL17" s="429">
        <f>IF(AN17=21,K17,0)</f>
        <v>0</v>
      </c>
      <c r="AN17" s="431">
        <v>21</v>
      </c>
      <c r="AO17" s="431">
        <f>H17*0.626768292682927</f>
        <v>0</v>
      </c>
      <c r="AP17" s="431">
        <f>H17*(1-0.626768292682927)</f>
        <v>0</v>
      </c>
      <c r="AQ17" s="432" t="s">
        <v>241</v>
      </c>
      <c r="AV17" s="431">
        <f>AW17+AX17</f>
        <v>0</v>
      </c>
      <c r="AW17" s="431">
        <f>G17*AO17</f>
        <v>0</v>
      </c>
      <c r="AX17" s="431">
        <f>G17*AP17</f>
        <v>0</v>
      </c>
      <c r="AY17" s="433" t="s">
        <v>4703</v>
      </c>
      <c r="AZ17" s="433" t="s">
        <v>4704</v>
      </c>
      <c r="BA17" s="405" t="s">
        <v>4705</v>
      </c>
      <c r="BC17" s="431">
        <f>AW17+AX17</f>
        <v>0</v>
      </c>
      <c r="BD17" s="431">
        <f>H17/(100-BE17)*100</f>
        <v>0</v>
      </c>
      <c r="BE17" s="431">
        <v>0</v>
      </c>
      <c r="BF17" s="431">
        <f>M17</f>
        <v>0.00030000000000000003</v>
      </c>
      <c r="BH17" s="429">
        <f>G17*AO17</f>
        <v>0</v>
      </c>
      <c r="BI17" s="429">
        <f>G17*AP17</f>
        <v>0</v>
      </c>
      <c r="BJ17" s="429">
        <f>G17*H17</f>
        <v>0</v>
      </c>
      <c r="BK17" s="429" t="s">
        <v>813</v>
      </c>
      <c r="BL17" s="431">
        <v>722</v>
      </c>
    </row>
    <row r="18" spans="1:15" ht="12">
      <c r="A18" s="383"/>
      <c r="C18" s="434" t="s">
        <v>4706</v>
      </c>
      <c r="D18" s="435" t="s">
        <v>4713</v>
      </c>
      <c r="E18" s="436"/>
      <c r="F18" s="436"/>
      <c r="G18" s="436"/>
      <c r="H18" s="436"/>
      <c r="I18" s="436"/>
      <c r="J18" s="436"/>
      <c r="K18" s="436"/>
      <c r="L18" s="436"/>
      <c r="M18" s="436"/>
      <c r="N18" s="437"/>
      <c r="O18" s="383"/>
    </row>
    <row r="19" spans="1:64" ht="12">
      <c r="A19" s="425" t="s">
        <v>185</v>
      </c>
      <c r="B19" s="426"/>
      <c r="C19" s="426" t="s">
        <v>4714</v>
      </c>
      <c r="D19" s="427" t="s">
        <v>4715</v>
      </c>
      <c r="E19" s="428"/>
      <c r="F19" s="426" t="s">
        <v>476</v>
      </c>
      <c r="G19" s="429">
        <v>45</v>
      </c>
      <c r="H19" s="429"/>
      <c r="I19" s="429">
        <f>G19*AO19</f>
        <v>0</v>
      </c>
      <c r="J19" s="429">
        <f>G19*AP19</f>
        <v>0</v>
      </c>
      <c r="K19" s="429">
        <f>G19*H19</f>
        <v>0</v>
      </c>
      <c r="L19" s="429">
        <v>4E-05</v>
      </c>
      <c r="M19" s="429">
        <f>G19*L19</f>
        <v>0.0018000000000000002</v>
      </c>
      <c r="N19" s="430" t="s">
        <v>4702</v>
      </c>
      <c r="O19" s="383"/>
      <c r="Z19" s="431">
        <f>IF(AQ19="5",BJ19,0)</f>
        <v>0</v>
      </c>
      <c r="AB19" s="431">
        <f>IF(AQ19="1",BH19,0)</f>
        <v>0</v>
      </c>
      <c r="AC19" s="431">
        <f>IF(AQ19="1",BI19,0)</f>
        <v>0</v>
      </c>
      <c r="AD19" s="431">
        <f>IF(AQ19="7",BH19,0)</f>
        <v>0</v>
      </c>
      <c r="AE19" s="431">
        <f>IF(AQ19="7",BI19,0)</f>
        <v>0</v>
      </c>
      <c r="AF19" s="431">
        <f>IF(AQ19="2",BH19,0)</f>
        <v>0</v>
      </c>
      <c r="AG19" s="431">
        <f>IF(AQ19="2",BI19,0)</f>
        <v>0</v>
      </c>
      <c r="AH19" s="431">
        <f>IF(AQ19="0",BJ19,0)</f>
        <v>0</v>
      </c>
      <c r="AI19" s="405"/>
      <c r="AJ19" s="429">
        <f>IF(AN19=0,K19,0)</f>
        <v>0</v>
      </c>
      <c r="AK19" s="429">
        <f>IF(AN19=15,K19,0)</f>
        <v>0</v>
      </c>
      <c r="AL19" s="429">
        <f>IF(AN19=21,K19,0)</f>
        <v>0</v>
      </c>
      <c r="AN19" s="431">
        <v>21</v>
      </c>
      <c r="AO19" s="431">
        <f>H19*0.667336956521739</f>
        <v>0</v>
      </c>
      <c r="AP19" s="431">
        <f>H19*(1-0.667336956521739)</f>
        <v>0</v>
      </c>
      <c r="AQ19" s="432" t="s">
        <v>241</v>
      </c>
      <c r="AV19" s="431">
        <f>AW19+AX19</f>
        <v>0</v>
      </c>
      <c r="AW19" s="431">
        <f>G19*AO19</f>
        <v>0</v>
      </c>
      <c r="AX19" s="431">
        <f>G19*AP19</f>
        <v>0</v>
      </c>
      <c r="AY19" s="433" t="s">
        <v>4703</v>
      </c>
      <c r="AZ19" s="433" t="s">
        <v>4704</v>
      </c>
      <c r="BA19" s="405" t="s">
        <v>4705</v>
      </c>
      <c r="BC19" s="431">
        <f>AW19+AX19</f>
        <v>0</v>
      </c>
      <c r="BD19" s="431">
        <f>H19/(100-BE19)*100</f>
        <v>0</v>
      </c>
      <c r="BE19" s="431">
        <v>0</v>
      </c>
      <c r="BF19" s="431">
        <f>M19</f>
        <v>0.0018000000000000002</v>
      </c>
      <c r="BH19" s="429">
        <f>G19*AO19</f>
        <v>0</v>
      </c>
      <c r="BI19" s="429">
        <f>G19*AP19</f>
        <v>0</v>
      </c>
      <c r="BJ19" s="429">
        <f>G19*H19</f>
        <v>0</v>
      </c>
      <c r="BK19" s="429" t="s">
        <v>813</v>
      </c>
      <c r="BL19" s="431">
        <v>722</v>
      </c>
    </row>
    <row r="20" spans="1:15" ht="12">
      <c r="A20" s="383"/>
      <c r="C20" s="434" t="s">
        <v>4706</v>
      </c>
      <c r="D20" s="435" t="s">
        <v>4716</v>
      </c>
      <c r="E20" s="436"/>
      <c r="F20" s="436"/>
      <c r="G20" s="436"/>
      <c r="H20" s="436"/>
      <c r="I20" s="436"/>
      <c r="J20" s="436"/>
      <c r="K20" s="436"/>
      <c r="L20" s="436"/>
      <c r="M20" s="436"/>
      <c r="N20" s="437"/>
      <c r="O20" s="383"/>
    </row>
    <row r="21" spans="1:64" ht="12">
      <c r="A21" s="425" t="s">
        <v>200</v>
      </c>
      <c r="B21" s="426"/>
      <c r="C21" s="426" t="s">
        <v>4717</v>
      </c>
      <c r="D21" s="427" t="s">
        <v>4718</v>
      </c>
      <c r="E21" s="428"/>
      <c r="F21" s="426" t="s">
        <v>476</v>
      </c>
      <c r="G21" s="429">
        <v>50</v>
      </c>
      <c r="H21" s="429"/>
      <c r="I21" s="429">
        <f>G21*AO21</f>
        <v>0</v>
      </c>
      <c r="J21" s="429">
        <f>G21*AP21</f>
        <v>0</v>
      </c>
      <c r="K21" s="429">
        <f>G21*H21</f>
        <v>0</v>
      </c>
      <c r="L21" s="429">
        <v>5E-05</v>
      </c>
      <c r="M21" s="429">
        <f>G21*L21</f>
        <v>0.0025</v>
      </c>
      <c r="N21" s="430" t="s">
        <v>4702</v>
      </c>
      <c r="O21" s="383"/>
      <c r="Z21" s="431">
        <f>IF(AQ21="5",BJ21,0)</f>
        <v>0</v>
      </c>
      <c r="AB21" s="431">
        <f>IF(AQ21="1",BH21,0)</f>
        <v>0</v>
      </c>
      <c r="AC21" s="431">
        <f>IF(AQ21="1",BI21,0)</f>
        <v>0</v>
      </c>
      <c r="AD21" s="431">
        <f>IF(AQ21="7",BH21,0)</f>
        <v>0</v>
      </c>
      <c r="AE21" s="431">
        <f>IF(AQ21="7",BI21,0)</f>
        <v>0</v>
      </c>
      <c r="AF21" s="431">
        <f>IF(AQ21="2",BH21,0)</f>
        <v>0</v>
      </c>
      <c r="AG21" s="431">
        <f>IF(AQ21="2",BI21,0)</f>
        <v>0</v>
      </c>
      <c r="AH21" s="431">
        <f>IF(AQ21="0",BJ21,0)</f>
        <v>0</v>
      </c>
      <c r="AI21" s="405"/>
      <c r="AJ21" s="429">
        <f>IF(AN21=0,K21,0)</f>
        <v>0</v>
      </c>
      <c r="AK21" s="429">
        <f>IF(AN21=15,K21,0)</f>
        <v>0</v>
      </c>
      <c r="AL21" s="429">
        <f>IF(AN21=21,K21,0)</f>
        <v>0</v>
      </c>
      <c r="AN21" s="431">
        <v>21</v>
      </c>
      <c r="AO21" s="431">
        <f>H21*0.705764192139738</f>
        <v>0</v>
      </c>
      <c r="AP21" s="431">
        <f>H21*(1-0.705764192139738)</f>
        <v>0</v>
      </c>
      <c r="AQ21" s="432" t="s">
        <v>241</v>
      </c>
      <c r="AV21" s="431">
        <f>AW21+AX21</f>
        <v>0</v>
      </c>
      <c r="AW21" s="431">
        <f>G21*AO21</f>
        <v>0</v>
      </c>
      <c r="AX21" s="431">
        <f>G21*AP21</f>
        <v>0</v>
      </c>
      <c r="AY21" s="433" t="s">
        <v>4703</v>
      </c>
      <c r="AZ21" s="433" t="s">
        <v>4704</v>
      </c>
      <c r="BA21" s="405" t="s">
        <v>4705</v>
      </c>
      <c r="BC21" s="431">
        <f>AW21+AX21</f>
        <v>0</v>
      </c>
      <c r="BD21" s="431">
        <f>H21/(100-BE21)*100</f>
        <v>0</v>
      </c>
      <c r="BE21" s="431">
        <v>0</v>
      </c>
      <c r="BF21" s="431">
        <f>M21</f>
        <v>0.0025</v>
      </c>
      <c r="BH21" s="429">
        <f>G21*AO21</f>
        <v>0</v>
      </c>
      <c r="BI21" s="429">
        <f>G21*AP21</f>
        <v>0</v>
      </c>
      <c r="BJ21" s="429">
        <f>G21*H21</f>
        <v>0</v>
      </c>
      <c r="BK21" s="429" t="s">
        <v>813</v>
      </c>
      <c r="BL21" s="431">
        <v>722</v>
      </c>
    </row>
    <row r="22" spans="1:15" ht="12">
      <c r="A22" s="383"/>
      <c r="C22" s="434" t="s">
        <v>4706</v>
      </c>
      <c r="D22" s="435" t="s">
        <v>4719</v>
      </c>
      <c r="E22" s="436"/>
      <c r="F22" s="436"/>
      <c r="G22" s="436"/>
      <c r="H22" s="436"/>
      <c r="I22" s="436"/>
      <c r="J22" s="436"/>
      <c r="K22" s="436"/>
      <c r="L22" s="436"/>
      <c r="M22" s="436"/>
      <c r="N22" s="437"/>
      <c r="O22" s="383"/>
    </row>
    <row r="23" spans="1:64" ht="12">
      <c r="A23" s="425" t="s">
        <v>233</v>
      </c>
      <c r="B23" s="426"/>
      <c r="C23" s="426" t="s">
        <v>4720</v>
      </c>
      <c r="D23" s="427" t="s">
        <v>4721</v>
      </c>
      <c r="E23" s="428"/>
      <c r="F23" s="426" t="s">
        <v>476</v>
      </c>
      <c r="G23" s="429">
        <v>56</v>
      </c>
      <c r="H23" s="429"/>
      <c r="I23" s="429">
        <f>G23*AO23</f>
        <v>0</v>
      </c>
      <c r="J23" s="429">
        <f>G23*AP23</f>
        <v>0</v>
      </c>
      <c r="K23" s="429">
        <f>G23*H23</f>
        <v>0</v>
      </c>
      <c r="L23" s="429">
        <v>0.00013</v>
      </c>
      <c r="M23" s="429">
        <f>G23*L23</f>
        <v>0.007279999999999999</v>
      </c>
      <c r="N23" s="430" t="s">
        <v>4702</v>
      </c>
      <c r="O23" s="383"/>
      <c r="Z23" s="431">
        <f>IF(AQ23="5",BJ23,0)</f>
        <v>0</v>
      </c>
      <c r="AB23" s="431">
        <f>IF(AQ23="1",BH23,0)</f>
        <v>0</v>
      </c>
      <c r="AC23" s="431">
        <f>IF(AQ23="1",BI23,0)</f>
        <v>0</v>
      </c>
      <c r="AD23" s="431">
        <f>IF(AQ23="7",BH23,0)</f>
        <v>0</v>
      </c>
      <c r="AE23" s="431">
        <f>IF(AQ23="7",BI23,0)</f>
        <v>0</v>
      </c>
      <c r="AF23" s="431">
        <f>IF(AQ23="2",BH23,0)</f>
        <v>0</v>
      </c>
      <c r="AG23" s="431">
        <f>IF(AQ23="2",BI23,0)</f>
        <v>0</v>
      </c>
      <c r="AH23" s="431">
        <f>IF(AQ23="0",BJ23,0)</f>
        <v>0</v>
      </c>
      <c r="AI23" s="405"/>
      <c r="AJ23" s="429">
        <f>IF(AN23=0,K23,0)</f>
        <v>0</v>
      </c>
      <c r="AK23" s="429">
        <f>IF(AN23=15,K23,0)</f>
        <v>0</v>
      </c>
      <c r="AL23" s="429">
        <f>IF(AN23=21,K23,0)</f>
        <v>0</v>
      </c>
      <c r="AN23" s="431">
        <v>21</v>
      </c>
      <c r="AO23" s="431">
        <f>H23*0.70777926736476</f>
        <v>0</v>
      </c>
      <c r="AP23" s="431">
        <f>H23*(1-0.70777926736476)</f>
        <v>0</v>
      </c>
      <c r="AQ23" s="432" t="s">
        <v>241</v>
      </c>
      <c r="AV23" s="431">
        <f>AW23+AX23</f>
        <v>0</v>
      </c>
      <c r="AW23" s="431">
        <f>G23*AO23</f>
        <v>0</v>
      </c>
      <c r="AX23" s="431">
        <f>G23*AP23</f>
        <v>0</v>
      </c>
      <c r="AY23" s="433" t="s">
        <v>4703</v>
      </c>
      <c r="AZ23" s="433" t="s">
        <v>4704</v>
      </c>
      <c r="BA23" s="405" t="s">
        <v>4705</v>
      </c>
      <c r="BC23" s="431">
        <f>AW23+AX23</f>
        <v>0</v>
      </c>
      <c r="BD23" s="431">
        <f>H23/(100-BE23)*100</f>
        <v>0</v>
      </c>
      <c r="BE23" s="431">
        <v>0</v>
      </c>
      <c r="BF23" s="431">
        <f>M23</f>
        <v>0.007279999999999999</v>
      </c>
      <c r="BH23" s="429">
        <f>G23*AO23</f>
        <v>0</v>
      </c>
      <c r="BI23" s="429">
        <f>G23*AP23</f>
        <v>0</v>
      </c>
      <c r="BJ23" s="429">
        <f>G23*H23</f>
        <v>0</v>
      </c>
      <c r="BK23" s="429" t="s">
        <v>813</v>
      </c>
      <c r="BL23" s="431">
        <v>722</v>
      </c>
    </row>
    <row r="24" spans="1:15" ht="12">
      <c r="A24" s="383"/>
      <c r="C24" s="434" t="s">
        <v>4706</v>
      </c>
      <c r="D24" s="435" t="s">
        <v>4722</v>
      </c>
      <c r="E24" s="436"/>
      <c r="F24" s="436"/>
      <c r="G24" s="436"/>
      <c r="H24" s="436"/>
      <c r="I24" s="436"/>
      <c r="J24" s="436"/>
      <c r="K24" s="436"/>
      <c r="L24" s="436"/>
      <c r="M24" s="436"/>
      <c r="N24" s="437"/>
      <c r="O24" s="383"/>
    </row>
    <row r="25" spans="1:64" ht="12">
      <c r="A25" s="425" t="s">
        <v>241</v>
      </c>
      <c r="B25" s="426"/>
      <c r="C25" s="426" t="s">
        <v>4723</v>
      </c>
      <c r="D25" s="427" t="s">
        <v>4724</v>
      </c>
      <c r="E25" s="428"/>
      <c r="F25" s="426" t="s">
        <v>476</v>
      </c>
      <c r="G25" s="429">
        <v>10</v>
      </c>
      <c r="H25" s="429"/>
      <c r="I25" s="429">
        <f>G25*AO25</f>
        <v>0</v>
      </c>
      <c r="J25" s="429">
        <f>G25*AP25</f>
        <v>0</v>
      </c>
      <c r="K25" s="429">
        <f>G25*H25</f>
        <v>0</v>
      </c>
      <c r="L25" s="429">
        <v>0.00014</v>
      </c>
      <c r="M25" s="429">
        <f>G25*L25</f>
        <v>0.0013999999999999998</v>
      </c>
      <c r="N25" s="430" t="s">
        <v>4702</v>
      </c>
      <c r="O25" s="383"/>
      <c r="Z25" s="431">
        <f>IF(AQ25="5",BJ25,0)</f>
        <v>0</v>
      </c>
      <c r="AB25" s="431">
        <f>IF(AQ25="1",BH25,0)</f>
        <v>0</v>
      </c>
      <c r="AC25" s="431">
        <f>IF(AQ25="1",BI25,0)</f>
        <v>0</v>
      </c>
      <c r="AD25" s="431">
        <f>IF(AQ25="7",BH25,0)</f>
        <v>0</v>
      </c>
      <c r="AE25" s="431">
        <f>IF(AQ25="7",BI25,0)</f>
        <v>0</v>
      </c>
      <c r="AF25" s="431">
        <f>IF(AQ25="2",BH25,0)</f>
        <v>0</v>
      </c>
      <c r="AG25" s="431">
        <f>IF(AQ25="2",BI25,0)</f>
        <v>0</v>
      </c>
      <c r="AH25" s="431">
        <f>IF(AQ25="0",BJ25,0)</f>
        <v>0</v>
      </c>
      <c r="AI25" s="405"/>
      <c r="AJ25" s="429">
        <f>IF(AN25=0,K25,0)</f>
        <v>0</v>
      </c>
      <c r="AK25" s="429">
        <f>IF(AN25=15,K25,0)</f>
        <v>0</v>
      </c>
      <c r="AL25" s="429">
        <f>IF(AN25=21,K25,0)</f>
        <v>0</v>
      </c>
      <c r="AN25" s="431">
        <v>21</v>
      </c>
      <c r="AO25" s="431">
        <f>H25*0.751338488994646</f>
        <v>0</v>
      </c>
      <c r="AP25" s="431">
        <f>H25*(1-0.751338488994646)</f>
        <v>0</v>
      </c>
      <c r="AQ25" s="432" t="s">
        <v>241</v>
      </c>
      <c r="AV25" s="431">
        <f>AW25+AX25</f>
        <v>0</v>
      </c>
      <c r="AW25" s="431">
        <f>G25*AO25</f>
        <v>0</v>
      </c>
      <c r="AX25" s="431">
        <f>G25*AP25</f>
        <v>0</v>
      </c>
      <c r="AY25" s="433" t="s">
        <v>4703</v>
      </c>
      <c r="AZ25" s="433" t="s">
        <v>4704</v>
      </c>
      <c r="BA25" s="405" t="s">
        <v>4705</v>
      </c>
      <c r="BC25" s="431">
        <f>AW25+AX25</f>
        <v>0</v>
      </c>
      <c r="BD25" s="431">
        <f>H25/(100-BE25)*100</f>
        <v>0</v>
      </c>
      <c r="BE25" s="431">
        <v>0</v>
      </c>
      <c r="BF25" s="431">
        <f>M25</f>
        <v>0.0013999999999999998</v>
      </c>
      <c r="BH25" s="429">
        <f>G25*AO25</f>
        <v>0</v>
      </c>
      <c r="BI25" s="429">
        <f>G25*AP25</f>
        <v>0</v>
      </c>
      <c r="BJ25" s="429">
        <f>G25*H25</f>
        <v>0</v>
      </c>
      <c r="BK25" s="429" t="s">
        <v>813</v>
      </c>
      <c r="BL25" s="431">
        <v>722</v>
      </c>
    </row>
    <row r="26" spans="1:15" ht="12">
      <c r="A26" s="383"/>
      <c r="C26" s="434" t="s">
        <v>4706</v>
      </c>
      <c r="D26" s="435" t="s">
        <v>4725</v>
      </c>
      <c r="E26" s="436"/>
      <c r="F26" s="436"/>
      <c r="G26" s="436"/>
      <c r="H26" s="436"/>
      <c r="I26" s="436"/>
      <c r="J26" s="436"/>
      <c r="K26" s="436"/>
      <c r="L26" s="436"/>
      <c r="M26" s="436"/>
      <c r="N26" s="437"/>
      <c r="O26" s="383"/>
    </row>
    <row r="27" spans="1:64" ht="12">
      <c r="A27" s="425" t="s">
        <v>248</v>
      </c>
      <c r="B27" s="426"/>
      <c r="C27" s="426" t="s">
        <v>4726</v>
      </c>
      <c r="D27" s="427" t="s">
        <v>4727</v>
      </c>
      <c r="E27" s="428"/>
      <c r="F27" s="426" t="s">
        <v>183</v>
      </c>
      <c r="G27" s="429">
        <v>0.01458</v>
      </c>
      <c r="H27" s="429"/>
      <c r="I27" s="429">
        <f>G27*AO27</f>
        <v>0</v>
      </c>
      <c r="J27" s="429">
        <f>G27*AP27</f>
        <v>0</v>
      </c>
      <c r="K27" s="429">
        <f>G27*H27</f>
        <v>0</v>
      </c>
      <c r="L27" s="429">
        <v>0</v>
      </c>
      <c r="M27" s="429">
        <f>G27*L27</f>
        <v>0</v>
      </c>
      <c r="N27" s="430" t="s">
        <v>4702</v>
      </c>
      <c r="O27" s="383"/>
      <c r="Z27" s="431">
        <f>IF(AQ27="5",BJ27,0)</f>
        <v>0</v>
      </c>
      <c r="AB27" s="431">
        <f>IF(AQ27="1",BH27,0)</f>
        <v>0</v>
      </c>
      <c r="AC27" s="431">
        <f>IF(AQ27="1",BI27,0)</f>
        <v>0</v>
      </c>
      <c r="AD27" s="431">
        <f>IF(AQ27="7",BH27,0)</f>
        <v>0</v>
      </c>
      <c r="AE27" s="431">
        <f>IF(AQ27="7",BI27,0)</f>
        <v>0</v>
      </c>
      <c r="AF27" s="431">
        <f>IF(AQ27="2",BH27,0)</f>
        <v>0</v>
      </c>
      <c r="AG27" s="431">
        <f>IF(AQ27="2",BI27,0)</f>
        <v>0</v>
      </c>
      <c r="AH27" s="431">
        <f>IF(AQ27="0",BJ27,0)</f>
        <v>0</v>
      </c>
      <c r="AI27" s="405"/>
      <c r="AJ27" s="429">
        <f>IF(AN27=0,K27,0)</f>
        <v>0</v>
      </c>
      <c r="AK27" s="429">
        <f>IF(AN27=15,K27,0)</f>
        <v>0</v>
      </c>
      <c r="AL27" s="429">
        <f>IF(AN27=21,K27,0)</f>
        <v>0</v>
      </c>
      <c r="AN27" s="431">
        <v>21</v>
      </c>
      <c r="AO27" s="431">
        <f>H27*0</f>
        <v>0</v>
      </c>
      <c r="AP27" s="431">
        <f>H27*(1-0)</f>
        <v>0</v>
      </c>
      <c r="AQ27" s="432" t="s">
        <v>200</v>
      </c>
      <c r="AV27" s="431">
        <f>AW27+AX27</f>
        <v>0</v>
      </c>
      <c r="AW27" s="431">
        <f>G27*AO27</f>
        <v>0</v>
      </c>
      <c r="AX27" s="431">
        <f>G27*AP27</f>
        <v>0</v>
      </c>
      <c r="AY27" s="433" t="s">
        <v>4703</v>
      </c>
      <c r="AZ27" s="433" t="s">
        <v>4704</v>
      </c>
      <c r="BA27" s="405" t="s">
        <v>4705</v>
      </c>
      <c r="BC27" s="431">
        <f>AW27+AX27</f>
        <v>0</v>
      </c>
      <c r="BD27" s="431">
        <f>H27/(100-BE27)*100</f>
        <v>0</v>
      </c>
      <c r="BE27" s="431">
        <v>0</v>
      </c>
      <c r="BF27" s="431">
        <f>M27</f>
        <v>0</v>
      </c>
      <c r="BH27" s="429">
        <f>G27*AO27</f>
        <v>0</v>
      </c>
      <c r="BI27" s="429">
        <f>G27*AP27</f>
        <v>0</v>
      </c>
      <c r="BJ27" s="429">
        <f>G27*H27</f>
        <v>0</v>
      </c>
      <c r="BK27" s="429" t="s">
        <v>813</v>
      </c>
      <c r="BL27" s="431">
        <v>722</v>
      </c>
    </row>
    <row r="28" spans="1:47" ht="12">
      <c r="A28" s="438"/>
      <c r="B28" s="439"/>
      <c r="C28" s="439" t="s">
        <v>4728</v>
      </c>
      <c r="D28" s="440" t="s">
        <v>4729</v>
      </c>
      <c r="E28" s="441"/>
      <c r="F28" s="442" t="s">
        <v>4598</v>
      </c>
      <c r="G28" s="442" t="s">
        <v>4598</v>
      </c>
      <c r="H28" s="442" t="s">
        <v>4598</v>
      </c>
      <c r="I28" s="424">
        <f>SUM(I29:I41)</f>
        <v>0</v>
      </c>
      <c r="J28" s="424">
        <f>SUM(J29:J41)</f>
        <v>0</v>
      </c>
      <c r="K28" s="424">
        <f>SUM(K29:K41)</f>
        <v>0</v>
      </c>
      <c r="L28" s="405"/>
      <c r="M28" s="424">
        <f>SUM(M29:M41)</f>
        <v>3.4871500000000006</v>
      </c>
      <c r="N28" s="443"/>
      <c r="O28" s="383"/>
      <c r="AI28" s="405"/>
      <c r="AS28" s="424">
        <f>SUM(AJ29:AJ41)</f>
        <v>0</v>
      </c>
      <c r="AT28" s="424">
        <f>SUM(AK29:AK41)</f>
        <v>0</v>
      </c>
      <c r="AU28" s="424">
        <f>SUM(AL29:AL41)</f>
        <v>0</v>
      </c>
    </row>
    <row r="29" spans="1:64" ht="12">
      <c r="A29" s="425" t="s">
        <v>252</v>
      </c>
      <c r="B29" s="426"/>
      <c r="C29" s="426" t="s">
        <v>4730</v>
      </c>
      <c r="D29" s="427" t="s">
        <v>4731</v>
      </c>
      <c r="E29" s="428"/>
      <c r="F29" s="426" t="s">
        <v>332</v>
      </c>
      <c r="G29" s="429">
        <v>80</v>
      </c>
      <c r="H29" s="429"/>
      <c r="I29" s="429">
        <f aca="true" t="shared" si="0" ref="I29:I41">G29*AO29</f>
        <v>0</v>
      </c>
      <c r="J29" s="429">
        <f aca="true" t="shared" si="1" ref="J29:J41">G29*AP29</f>
        <v>0</v>
      </c>
      <c r="K29" s="429">
        <f aca="true" t="shared" si="2" ref="K29:K41">G29*H29</f>
        <v>0</v>
      </c>
      <c r="L29" s="429">
        <v>0.0021</v>
      </c>
      <c r="M29" s="429">
        <f aca="true" t="shared" si="3" ref="M29:M41">G29*L29</f>
        <v>0.16799999999999998</v>
      </c>
      <c r="N29" s="430" t="s">
        <v>4702</v>
      </c>
      <c r="O29" s="383"/>
      <c r="Z29" s="431">
        <f aca="true" t="shared" si="4" ref="Z29:Z41">IF(AQ29="5",BJ29,0)</f>
        <v>0</v>
      </c>
      <c r="AB29" s="431">
        <f aca="true" t="shared" si="5" ref="AB29:AB41">IF(AQ29="1",BH29,0)</f>
        <v>0</v>
      </c>
      <c r="AC29" s="431">
        <f aca="true" t="shared" si="6" ref="AC29:AC41">IF(AQ29="1",BI29,0)</f>
        <v>0</v>
      </c>
      <c r="AD29" s="431">
        <f aca="true" t="shared" si="7" ref="AD29:AD41">IF(AQ29="7",BH29,0)</f>
        <v>0</v>
      </c>
      <c r="AE29" s="431">
        <f aca="true" t="shared" si="8" ref="AE29:AE41">IF(AQ29="7",BI29,0)</f>
        <v>0</v>
      </c>
      <c r="AF29" s="431">
        <f aca="true" t="shared" si="9" ref="AF29:AF41">IF(AQ29="2",BH29,0)</f>
        <v>0</v>
      </c>
      <c r="AG29" s="431">
        <f aca="true" t="shared" si="10" ref="AG29:AG41">IF(AQ29="2",BI29,0)</f>
        <v>0</v>
      </c>
      <c r="AH29" s="431">
        <f aca="true" t="shared" si="11" ref="AH29:AH41">IF(AQ29="0",BJ29,0)</f>
        <v>0</v>
      </c>
      <c r="AI29" s="405"/>
      <c r="AJ29" s="429">
        <f aca="true" t="shared" si="12" ref="AJ29:AJ41">IF(AN29=0,K29,0)</f>
        <v>0</v>
      </c>
      <c r="AK29" s="429">
        <f aca="true" t="shared" si="13" ref="AK29:AK41">IF(AN29=15,K29,0)</f>
        <v>0</v>
      </c>
      <c r="AL29" s="429">
        <f aca="true" t="shared" si="14" ref="AL29:AL41">IF(AN29=21,K29,0)</f>
        <v>0</v>
      </c>
      <c r="AN29" s="431">
        <v>21</v>
      </c>
      <c r="AO29" s="431">
        <f>H29*0</f>
        <v>0</v>
      </c>
      <c r="AP29" s="431">
        <f>H29*(1-0)</f>
        <v>0</v>
      </c>
      <c r="AQ29" s="432" t="s">
        <v>241</v>
      </c>
      <c r="AV29" s="431">
        <f aca="true" t="shared" si="15" ref="AV29:AV41">AW29+AX29</f>
        <v>0</v>
      </c>
      <c r="AW29" s="431">
        <f aca="true" t="shared" si="16" ref="AW29:AW41">G29*AO29</f>
        <v>0</v>
      </c>
      <c r="AX29" s="431">
        <f aca="true" t="shared" si="17" ref="AX29:AX41">G29*AP29</f>
        <v>0</v>
      </c>
      <c r="AY29" s="433" t="s">
        <v>4732</v>
      </c>
      <c r="AZ29" s="433" t="s">
        <v>4733</v>
      </c>
      <c r="BA29" s="405" t="s">
        <v>4705</v>
      </c>
      <c r="BC29" s="431">
        <f aca="true" t="shared" si="18" ref="BC29:BC41">AW29+AX29</f>
        <v>0</v>
      </c>
      <c r="BD29" s="431">
        <f aca="true" t="shared" si="19" ref="BD29:BD41">H29/(100-BE29)*100</f>
        <v>0</v>
      </c>
      <c r="BE29" s="431">
        <v>0</v>
      </c>
      <c r="BF29" s="431">
        <f aca="true" t="shared" si="20" ref="BF29:BF41">M29</f>
        <v>0.16799999999999998</v>
      </c>
      <c r="BH29" s="429">
        <f aca="true" t="shared" si="21" ref="BH29:BH41">G29*AO29</f>
        <v>0</v>
      </c>
      <c r="BI29" s="429">
        <f aca="true" t="shared" si="22" ref="BI29:BI41">G29*AP29</f>
        <v>0</v>
      </c>
      <c r="BJ29" s="429">
        <f aca="true" t="shared" si="23" ref="BJ29:BJ41">G29*H29</f>
        <v>0</v>
      </c>
      <c r="BK29" s="429" t="s">
        <v>813</v>
      </c>
      <c r="BL29" s="431">
        <v>730</v>
      </c>
    </row>
    <row r="30" spans="1:64" ht="12">
      <c r="A30" s="425" t="s">
        <v>258</v>
      </c>
      <c r="B30" s="426"/>
      <c r="C30" s="426" t="s">
        <v>4734</v>
      </c>
      <c r="D30" s="427" t="s">
        <v>4735</v>
      </c>
      <c r="E30" s="428"/>
      <c r="F30" s="426" t="s">
        <v>476</v>
      </c>
      <c r="G30" s="429">
        <v>300</v>
      </c>
      <c r="H30" s="429"/>
      <c r="I30" s="429">
        <f t="shared" si="0"/>
        <v>0</v>
      </c>
      <c r="J30" s="429">
        <f t="shared" si="1"/>
        <v>0</v>
      </c>
      <c r="K30" s="429">
        <f t="shared" si="2"/>
        <v>0</v>
      </c>
      <c r="L30" s="429">
        <v>0.00322</v>
      </c>
      <c r="M30" s="429">
        <f t="shared" si="3"/>
        <v>0.9660000000000001</v>
      </c>
      <c r="N30" s="430" t="s">
        <v>4702</v>
      </c>
      <c r="O30" s="383"/>
      <c r="Z30" s="431">
        <f t="shared" si="4"/>
        <v>0</v>
      </c>
      <c r="AB30" s="431">
        <f t="shared" si="5"/>
        <v>0</v>
      </c>
      <c r="AC30" s="431">
        <f t="shared" si="6"/>
        <v>0</v>
      </c>
      <c r="AD30" s="431">
        <f t="shared" si="7"/>
        <v>0</v>
      </c>
      <c r="AE30" s="431">
        <f t="shared" si="8"/>
        <v>0</v>
      </c>
      <c r="AF30" s="431">
        <f t="shared" si="9"/>
        <v>0</v>
      </c>
      <c r="AG30" s="431">
        <f t="shared" si="10"/>
        <v>0</v>
      </c>
      <c r="AH30" s="431">
        <f t="shared" si="11"/>
        <v>0</v>
      </c>
      <c r="AI30" s="405"/>
      <c r="AJ30" s="429">
        <f t="shared" si="12"/>
        <v>0</v>
      </c>
      <c r="AK30" s="429">
        <f t="shared" si="13"/>
        <v>0</v>
      </c>
      <c r="AL30" s="429">
        <f t="shared" si="14"/>
        <v>0</v>
      </c>
      <c r="AN30" s="431">
        <v>21</v>
      </c>
      <c r="AO30" s="431">
        <f>H30*0.156040268456376</f>
        <v>0</v>
      </c>
      <c r="AP30" s="431">
        <f>H30*(1-0.156040268456376)</f>
        <v>0</v>
      </c>
      <c r="AQ30" s="432" t="s">
        <v>241</v>
      </c>
      <c r="AV30" s="431">
        <f t="shared" si="15"/>
        <v>0</v>
      </c>
      <c r="AW30" s="431">
        <f t="shared" si="16"/>
        <v>0</v>
      </c>
      <c r="AX30" s="431">
        <f t="shared" si="17"/>
        <v>0</v>
      </c>
      <c r="AY30" s="433" t="s">
        <v>4732</v>
      </c>
      <c r="AZ30" s="433" t="s">
        <v>4733</v>
      </c>
      <c r="BA30" s="405" t="s">
        <v>4705</v>
      </c>
      <c r="BC30" s="431">
        <f t="shared" si="18"/>
        <v>0</v>
      </c>
      <c r="BD30" s="431">
        <f t="shared" si="19"/>
        <v>0</v>
      </c>
      <c r="BE30" s="431">
        <v>0</v>
      </c>
      <c r="BF30" s="431">
        <f t="shared" si="20"/>
        <v>0.9660000000000001</v>
      </c>
      <c r="BH30" s="429">
        <f t="shared" si="21"/>
        <v>0</v>
      </c>
      <c r="BI30" s="429">
        <f t="shared" si="22"/>
        <v>0</v>
      </c>
      <c r="BJ30" s="429">
        <f t="shared" si="23"/>
        <v>0</v>
      </c>
      <c r="BK30" s="429" t="s">
        <v>813</v>
      </c>
      <c r="BL30" s="431">
        <v>730</v>
      </c>
    </row>
    <row r="31" spans="1:64" ht="12">
      <c r="A31" s="425" t="s">
        <v>265</v>
      </c>
      <c r="B31" s="426"/>
      <c r="C31" s="426" t="s">
        <v>4736</v>
      </c>
      <c r="D31" s="427" t="s">
        <v>4737</v>
      </c>
      <c r="E31" s="428"/>
      <c r="F31" s="426" t="s">
        <v>476</v>
      </c>
      <c r="G31" s="429">
        <v>150</v>
      </c>
      <c r="H31" s="429"/>
      <c r="I31" s="429">
        <f t="shared" si="0"/>
        <v>0</v>
      </c>
      <c r="J31" s="429">
        <f t="shared" si="1"/>
        <v>0</v>
      </c>
      <c r="K31" s="429">
        <f t="shared" si="2"/>
        <v>0</v>
      </c>
      <c r="L31" s="429">
        <v>0.00537</v>
      </c>
      <c r="M31" s="429">
        <f t="shared" si="3"/>
        <v>0.8055</v>
      </c>
      <c r="N31" s="430" t="s">
        <v>4702</v>
      </c>
      <c r="O31" s="383"/>
      <c r="Z31" s="431">
        <f t="shared" si="4"/>
        <v>0</v>
      </c>
      <c r="AB31" s="431">
        <f t="shared" si="5"/>
        <v>0</v>
      </c>
      <c r="AC31" s="431">
        <f t="shared" si="6"/>
        <v>0</v>
      </c>
      <c r="AD31" s="431">
        <f t="shared" si="7"/>
        <v>0</v>
      </c>
      <c r="AE31" s="431">
        <f t="shared" si="8"/>
        <v>0</v>
      </c>
      <c r="AF31" s="431">
        <f t="shared" si="9"/>
        <v>0</v>
      </c>
      <c r="AG31" s="431">
        <f t="shared" si="10"/>
        <v>0</v>
      </c>
      <c r="AH31" s="431">
        <f t="shared" si="11"/>
        <v>0</v>
      </c>
      <c r="AI31" s="405"/>
      <c r="AJ31" s="429">
        <f t="shared" si="12"/>
        <v>0</v>
      </c>
      <c r="AK31" s="429">
        <f t="shared" si="13"/>
        <v>0</v>
      </c>
      <c r="AL31" s="429">
        <f t="shared" si="14"/>
        <v>0</v>
      </c>
      <c r="AN31" s="431">
        <v>21</v>
      </c>
      <c r="AO31" s="431">
        <f>H31*0.20520325203252</f>
        <v>0</v>
      </c>
      <c r="AP31" s="431">
        <f>H31*(1-0.20520325203252)</f>
        <v>0</v>
      </c>
      <c r="AQ31" s="432" t="s">
        <v>241</v>
      </c>
      <c r="AV31" s="431">
        <f t="shared" si="15"/>
        <v>0</v>
      </c>
      <c r="AW31" s="431">
        <f t="shared" si="16"/>
        <v>0</v>
      </c>
      <c r="AX31" s="431">
        <f t="shared" si="17"/>
        <v>0</v>
      </c>
      <c r="AY31" s="433" t="s">
        <v>4732</v>
      </c>
      <c r="AZ31" s="433" t="s">
        <v>4733</v>
      </c>
      <c r="BA31" s="405" t="s">
        <v>4705</v>
      </c>
      <c r="BC31" s="431">
        <f t="shared" si="18"/>
        <v>0</v>
      </c>
      <c r="BD31" s="431">
        <f t="shared" si="19"/>
        <v>0</v>
      </c>
      <c r="BE31" s="431">
        <v>0</v>
      </c>
      <c r="BF31" s="431">
        <f t="shared" si="20"/>
        <v>0.8055</v>
      </c>
      <c r="BH31" s="429">
        <f t="shared" si="21"/>
        <v>0</v>
      </c>
      <c r="BI31" s="429">
        <f t="shared" si="22"/>
        <v>0</v>
      </c>
      <c r="BJ31" s="429">
        <f t="shared" si="23"/>
        <v>0</v>
      </c>
      <c r="BK31" s="429" t="s">
        <v>813</v>
      </c>
      <c r="BL31" s="431">
        <v>730</v>
      </c>
    </row>
    <row r="32" spans="1:64" ht="12">
      <c r="A32" s="425" t="s">
        <v>271</v>
      </c>
      <c r="B32" s="426"/>
      <c r="C32" s="426" t="s">
        <v>4738</v>
      </c>
      <c r="D32" s="427" t="s">
        <v>4739</v>
      </c>
      <c r="E32" s="428"/>
      <c r="F32" s="426" t="s">
        <v>183</v>
      </c>
      <c r="G32" s="429">
        <v>1.7715</v>
      </c>
      <c r="H32" s="429"/>
      <c r="I32" s="429">
        <f t="shared" si="0"/>
        <v>0</v>
      </c>
      <c r="J32" s="429">
        <f t="shared" si="1"/>
        <v>0</v>
      </c>
      <c r="K32" s="429">
        <f t="shared" si="2"/>
        <v>0</v>
      </c>
      <c r="L32" s="429">
        <v>0</v>
      </c>
      <c r="M32" s="429">
        <f t="shared" si="3"/>
        <v>0</v>
      </c>
      <c r="N32" s="430" t="s">
        <v>4702</v>
      </c>
      <c r="O32" s="383"/>
      <c r="Z32" s="431">
        <f t="shared" si="4"/>
        <v>0</v>
      </c>
      <c r="AB32" s="431">
        <f t="shared" si="5"/>
        <v>0</v>
      </c>
      <c r="AC32" s="431">
        <f t="shared" si="6"/>
        <v>0</v>
      </c>
      <c r="AD32" s="431">
        <f t="shared" si="7"/>
        <v>0</v>
      </c>
      <c r="AE32" s="431">
        <f t="shared" si="8"/>
        <v>0</v>
      </c>
      <c r="AF32" s="431">
        <f t="shared" si="9"/>
        <v>0</v>
      </c>
      <c r="AG32" s="431">
        <f t="shared" si="10"/>
        <v>0</v>
      </c>
      <c r="AH32" s="431">
        <f t="shared" si="11"/>
        <v>0</v>
      </c>
      <c r="AI32" s="405"/>
      <c r="AJ32" s="429">
        <f t="shared" si="12"/>
        <v>0</v>
      </c>
      <c r="AK32" s="429">
        <f t="shared" si="13"/>
        <v>0</v>
      </c>
      <c r="AL32" s="429">
        <f t="shared" si="14"/>
        <v>0</v>
      </c>
      <c r="AN32" s="431">
        <v>21</v>
      </c>
      <c r="AO32" s="431">
        <f>H32*0</f>
        <v>0</v>
      </c>
      <c r="AP32" s="431">
        <f>H32*(1-0)</f>
        <v>0</v>
      </c>
      <c r="AQ32" s="432" t="s">
        <v>241</v>
      </c>
      <c r="AV32" s="431">
        <f t="shared" si="15"/>
        <v>0</v>
      </c>
      <c r="AW32" s="431">
        <f t="shared" si="16"/>
        <v>0</v>
      </c>
      <c r="AX32" s="431">
        <f t="shared" si="17"/>
        <v>0</v>
      </c>
      <c r="AY32" s="433" t="s">
        <v>4732</v>
      </c>
      <c r="AZ32" s="433" t="s">
        <v>4733</v>
      </c>
      <c r="BA32" s="405" t="s">
        <v>4705</v>
      </c>
      <c r="BC32" s="431">
        <f t="shared" si="18"/>
        <v>0</v>
      </c>
      <c r="BD32" s="431">
        <f t="shared" si="19"/>
        <v>0</v>
      </c>
      <c r="BE32" s="431">
        <v>0</v>
      </c>
      <c r="BF32" s="431">
        <f t="shared" si="20"/>
        <v>0</v>
      </c>
      <c r="BH32" s="429">
        <f t="shared" si="21"/>
        <v>0</v>
      </c>
      <c r="BI32" s="429">
        <f t="shared" si="22"/>
        <v>0</v>
      </c>
      <c r="BJ32" s="429">
        <f t="shared" si="23"/>
        <v>0</v>
      </c>
      <c r="BK32" s="429" t="s">
        <v>813</v>
      </c>
      <c r="BL32" s="431">
        <v>730</v>
      </c>
    </row>
    <row r="33" spans="1:64" ht="12">
      <c r="A33" s="425" t="s">
        <v>277</v>
      </c>
      <c r="B33" s="426"/>
      <c r="C33" s="426" t="s">
        <v>4740</v>
      </c>
      <c r="D33" s="427" t="s">
        <v>4741</v>
      </c>
      <c r="E33" s="428"/>
      <c r="F33" s="426" t="s">
        <v>332</v>
      </c>
      <c r="G33" s="429">
        <v>63.75</v>
      </c>
      <c r="H33" s="429"/>
      <c r="I33" s="429">
        <f t="shared" si="0"/>
        <v>0</v>
      </c>
      <c r="J33" s="429">
        <f t="shared" si="1"/>
        <v>0</v>
      </c>
      <c r="K33" s="429">
        <f t="shared" si="2"/>
        <v>0</v>
      </c>
      <c r="L33" s="429">
        <v>0.0238</v>
      </c>
      <c r="M33" s="429">
        <f t="shared" si="3"/>
        <v>1.5172500000000002</v>
      </c>
      <c r="N33" s="430" t="s">
        <v>4702</v>
      </c>
      <c r="O33" s="383"/>
      <c r="Z33" s="431">
        <f t="shared" si="4"/>
        <v>0</v>
      </c>
      <c r="AB33" s="431">
        <f t="shared" si="5"/>
        <v>0</v>
      </c>
      <c r="AC33" s="431">
        <f t="shared" si="6"/>
        <v>0</v>
      </c>
      <c r="AD33" s="431">
        <f t="shared" si="7"/>
        <v>0</v>
      </c>
      <c r="AE33" s="431">
        <f t="shared" si="8"/>
        <v>0</v>
      </c>
      <c r="AF33" s="431">
        <f t="shared" si="9"/>
        <v>0</v>
      </c>
      <c r="AG33" s="431">
        <f t="shared" si="10"/>
        <v>0</v>
      </c>
      <c r="AH33" s="431">
        <f t="shared" si="11"/>
        <v>0</v>
      </c>
      <c r="AI33" s="405"/>
      <c r="AJ33" s="429">
        <f t="shared" si="12"/>
        <v>0</v>
      </c>
      <c r="AK33" s="429">
        <f t="shared" si="13"/>
        <v>0</v>
      </c>
      <c r="AL33" s="429">
        <f t="shared" si="14"/>
        <v>0</v>
      </c>
      <c r="AN33" s="431">
        <v>21</v>
      </c>
      <c r="AO33" s="431">
        <f>H33*0</f>
        <v>0</v>
      </c>
      <c r="AP33" s="431">
        <f>H33*(1-0)</f>
        <v>0</v>
      </c>
      <c r="AQ33" s="432" t="s">
        <v>241</v>
      </c>
      <c r="AV33" s="431">
        <f t="shared" si="15"/>
        <v>0</v>
      </c>
      <c r="AW33" s="431">
        <f t="shared" si="16"/>
        <v>0</v>
      </c>
      <c r="AX33" s="431">
        <f t="shared" si="17"/>
        <v>0</v>
      </c>
      <c r="AY33" s="433" t="s">
        <v>4732</v>
      </c>
      <c r="AZ33" s="433" t="s">
        <v>4733</v>
      </c>
      <c r="BA33" s="405" t="s">
        <v>4705</v>
      </c>
      <c r="BC33" s="431">
        <f t="shared" si="18"/>
        <v>0</v>
      </c>
      <c r="BD33" s="431">
        <f t="shared" si="19"/>
        <v>0</v>
      </c>
      <c r="BE33" s="431">
        <v>0</v>
      </c>
      <c r="BF33" s="431">
        <f t="shared" si="20"/>
        <v>1.5172500000000002</v>
      </c>
      <c r="BH33" s="429">
        <f t="shared" si="21"/>
        <v>0</v>
      </c>
      <c r="BI33" s="429">
        <f t="shared" si="22"/>
        <v>0</v>
      </c>
      <c r="BJ33" s="429">
        <f t="shared" si="23"/>
        <v>0</v>
      </c>
      <c r="BK33" s="429" t="s">
        <v>813</v>
      </c>
      <c r="BL33" s="431">
        <v>730</v>
      </c>
    </row>
    <row r="34" spans="1:64" ht="12">
      <c r="A34" s="425" t="s">
        <v>283</v>
      </c>
      <c r="B34" s="426"/>
      <c r="C34" s="426" t="s">
        <v>4742</v>
      </c>
      <c r="D34" s="427" t="s">
        <v>4743</v>
      </c>
      <c r="E34" s="428"/>
      <c r="F34" s="426" t="s">
        <v>236</v>
      </c>
      <c r="G34" s="429">
        <v>40</v>
      </c>
      <c r="H34" s="429"/>
      <c r="I34" s="429">
        <f t="shared" si="0"/>
        <v>0</v>
      </c>
      <c r="J34" s="429">
        <f t="shared" si="1"/>
        <v>0</v>
      </c>
      <c r="K34" s="429">
        <f t="shared" si="2"/>
        <v>0</v>
      </c>
      <c r="L34" s="429">
        <v>0.00076</v>
      </c>
      <c r="M34" s="429">
        <f t="shared" si="3"/>
        <v>0.030400000000000003</v>
      </c>
      <c r="N34" s="430" t="s">
        <v>4702</v>
      </c>
      <c r="O34" s="383"/>
      <c r="Z34" s="431">
        <f t="shared" si="4"/>
        <v>0</v>
      </c>
      <c r="AB34" s="431">
        <f t="shared" si="5"/>
        <v>0</v>
      </c>
      <c r="AC34" s="431">
        <f t="shared" si="6"/>
        <v>0</v>
      </c>
      <c r="AD34" s="431">
        <f t="shared" si="7"/>
        <v>0</v>
      </c>
      <c r="AE34" s="431">
        <f t="shared" si="8"/>
        <v>0</v>
      </c>
      <c r="AF34" s="431">
        <f t="shared" si="9"/>
        <v>0</v>
      </c>
      <c r="AG34" s="431">
        <f t="shared" si="10"/>
        <v>0</v>
      </c>
      <c r="AH34" s="431">
        <f t="shared" si="11"/>
        <v>0</v>
      </c>
      <c r="AI34" s="405"/>
      <c r="AJ34" s="429">
        <f t="shared" si="12"/>
        <v>0</v>
      </c>
      <c r="AK34" s="429">
        <f t="shared" si="13"/>
        <v>0</v>
      </c>
      <c r="AL34" s="429">
        <f t="shared" si="14"/>
        <v>0</v>
      </c>
      <c r="AN34" s="431">
        <v>21</v>
      </c>
      <c r="AO34" s="431">
        <f>H34*0.0444444444444444</f>
        <v>0</v>
      </c>
      <c r="AP34" s="431">
        <f>H34*(1-0.0444444444444444)</f>
        <v>0</v>
      </c>
      <c r="AQ34" s="432" t="s">
        <v>241</v>
      </c>
      <c r="AV34" s="431">
        <f t="shared" si="15"/>
        <v>0</v>
      </c>
      <c r="AW34" s="431">
        <f t="shared" si="16"/>
        <v>0</v>
      </c>
      <c r="AX34" s="431">
        <f t="shared" si="17"/>
        <v>0</v>
      </c>
      <c r="AY34" s="433" t="s">
        <v>4732</v>
      </c>
      <c r="AZ34" s="433" t="s">
        <v>4733</v>
      </c>
      <c r="BA34" s="405" t="s">
        <v>4705</v>
      </c>
      <c r="BC34" s="431">
        <f t="shared" si="18"/>
        <v>0</v>
      </c>
      <c r="BD34" s="431">
        <f t="shared" si="19"/>
        <v>0</v>
      </c>
      <c r="BE34" s="431">
        <v>0</v>
      </c>
      <c r="BF34" s="431">
        <f t="shared" si="20"/>
        <v>0.030400000000000003</v>
      </c>
      <c r="BH34" s="429">
        <f t="shared" si="21"/>
        <v>0</v>
      </c>
      <c r="BI34" s="429">
        <f t="shared" si="22"/>
        <v>0</v>
      </c>
      <c r="BJ34" s="429">
        <f t="shared" si="23"/>
        <v>0</v>
      </c>
      <c r="BK34" s="429" t="s">
        <v>813</v>
      </c>
      <c r="BL34" s="431">
        <v>730</v>
      </c>
    </row>
    <row r="35" spans="1:64" ht="12">
      <c r="A35" s="425" t="s">
        <v>9</v>
      </c>
      <c r="B35" s="426"/>
      <c r="C35" s="426" t="s">
        <v>4744</v>
      </c>
      <c r="D35" s="427" t="s">
        <v>4745</v>
      </c>
      <c r="E35" s="428"/>
      <c r="F35" s="426" t="s">
        <v>183</v>
      </c>
      <c r="G35" s="429">
        <v>1.5477</v>
      </c>
      <c r="H35" s="429"/>
      <c r="I35" s="429">
        <f t="shared" si="0"/>
        <v>0</v>
      </c>
      <c r="J35" s="429">
        <f t="shared" si="1"/>
        <v>0</v>
      </c>
      <c r="K35" s="429">
        <f t="shared" si="2"/>
        <v>0</v>
      </c>
      <c r="L35" s="429">
        <v>0</v>
      </c>
      <c r="M35" s="429">
        <f t="shared" si="3"/>
        <v>0</v>
      </c>
      <c r="N35" s="430" t="s">
        <v>4702</v>
      </c>
      <c r="O35" s="383"/>
      <c r="Z35" s="431">
        <f t="shared" si="4"/>
        <v>0</v>
      </c>
      <c r="AB35" s="431">
        <f t="shared" si="5"/>
        <v>0</v>
      </c>
      <c r="AC35" s="431">
        <f t="shared" si="6"/>
        <v>0</v>
      </c>
      <c r="AD35" s="431">
        <f t="shared" si="7"/>
        <v>0</v>
      </c>
      <c r="AE35" s="431">
        <f t="shared" si="8"/>
        <v>0</v>
      </c>
      <c r="AF35" s="431">
        <f t="shared" si="9"/>
        <v>0</v>
      </c>
      <c r="AG35" s="431">
        <f t="shared" si="10"/>
        <v>0</v>
      </c>
      <c r="AH35" s="431">
        <f t="shared" si="11"/>
        <v>0</v>
      </c>
      <c r="AI35" s="405"/>
      <c r="AJ35" s="429">
        <f t="shared" si="12"/>
        <v>0</v>
      </c>
      <c r="AK35" s="429">
        <f t="shared" si="13"/>
        <v>0</v>
      </c>
      <c r="AL35" s="429">
        <f t="shared" si="14"/>
        <v>0</v>
      </c>
      <c r="AN35" s="431">
        <v>21</v>
      </c>
      <c r="AO35" s="431">
        <f aca="true" t="shared" si="24" ref="AO35:AO41">H35*0</f>
        <v>0</v>
      </c>
      <c r="AP35" s="431">
        <f aca="true" t="shared" si="25" ref="AP35:AP41">H35*(1-0)</f>
        <v>0</v>
      </c>
      <c r="AQ35" s="432" t="s">
        <v>241</v>
      </c>
      <c r="AV35" s="431">
        <f t="shared" si="15"/>
        <v>0</v>
      </c>
      <c r="AW35" s="431">
        <f t="shared" si="16"/>
        <v>0</v>
      </c>
      <c r="AX35" s="431">
        <f t="shared" si="17"/>
        <v>0</v>
      </c>
      <c r="AY35" s="433" t="s">
        <v>4732</v>
      </c>
      <c r="AZ35" s="433" t="s">
        <v>4733</v>
      </c>
      <c r="BA35" s="405" t="s">
        <v>4705</v>
      </c>
      <c r="BC35" s="431">
        <f t="shared" si="18"/>
        <v>0</v>
      </c>
      <c r="BD35" s="431">
        <f t="shared" si="19"/>
        <v>0</v>
      </c>
      <c r="BE35" s="431">
        <v>0</v>
      </c>
      <c r="BF35" s="431">
        <f t="shared" si="20"/>
        <v>0</v>
      </c>
      <c r="BH35" s="429">
        <f t="shared" si="21"/>
        <v>0</v>
      </c>
      <c r="BI35" s="429">
        <f t="shared" si="22"/>
        <v>0</v>
      </c>
      <c r="BJ35" s="429">
        <f t="shared" si="23"/>
        <v>0</v>
      </c>
      <c r="BK35" s="429" t="s">
        <v>813</v>
      </c>
      <c r="BL35" s="431">
        <v>730</v>
      </c>
    </row>
    <row r="36" spans="1:64" ht="12">
      <c r="A36" s="425" t="s">
        <v>237</v>
      </c>
      <c r="B36" s="426"/>
      <c r="C36" s="426" t="s">
        <v>4746</v>
      </c>
      <c r="D36" s="427" t="s">
        <v>4747</v>
      </c>
      <c r="E36" s="428"/>
      <c r="F36" s="426" t="s">
        <v>183</v>
      </c>
      <c r="G36" s="429">
        <v>0.168</v>
      </c>
      <c r="H36" s="429"/>
      <c r="I36" s="429">
        <f t="shared" si="0"/>
        <v>0</v>
      </c>
      <c r="J36" s="429">
        <f t="shared" si="1"/>
        <v>0</v>
      </c>
      <c r="K36" s="429">
        <f t="shared" si="2"/>
        <v>0</v>
      </c>
      <c r="L36" s="429">
        <v>0</v>
      </c>
      <c r="M36" s="429">
        <f t="shared" si="3"/>
        <v>0</v>
      </c>
      <c r="N36" s="430" t="s">
        <v>4702</v>
      </c>
      <c r="O36" s="383"/>
      <c r="Z36" s="431">
        <f t="shared" si="4"/>
        <v>0</v>
      </c>
      <c r="AB36" s="431">
        <f t="shared" si="5"/>
        <v>0</v>
      </c>
      <c r="AC36" s="431">
        <f t="shared" si="6"/>
        <v>0</v>
      </c>
      <c r="AD36" s="431">
        <f t="shared" si="7"/>
        <v>0</v>
      </c>
      <c r="AE36" s="431">
        <f t="shared" si="8"/>
        <v>0</v>
      </c>
      <c r="AF36" s="431">
        <f t="shared" si="9"/>
        <v>0</v>
      </c>
      <c r="AG36" s="431">
        <f t="shared" si="10"/>
        <v>0</v>
      </c>
      <c r="AH36" s="431">
        <f t="shared" si="11"/>
        <v>0</v>
      </c>
      <c r="AI36" s="405"/>
      <c r="AJ36" s="429">
        <f t="shared" si="12"/>
        <v>0</v>
      </c>
      <c r="AK36" s="429">
        <f t="shared" si="13"/>
        <v>0</v>
      </c>
      <c r="AL36" s="429">
        <f t="shared" si="14"/>
        <v>0</v>
      </c>
      <c r="AN36" s="431">
        <v>21</v>
      </c>
      <c r="AO36" s="431">
        <f t="shared" si="24"/>
        <v>0</v>
      </c>
      <c r="AP36" s="431">
        <f t="shared" si="25"/>
        <v>0</v>
      </c>
      <c r="AQ36" s="432" t="s">
        <v>241</v>
      </c>
      <c r="AV36" s="431">
        <f t="shared" si="15"/>
        <v>0</v>
      </c>
      <c r="AW36" s="431">
        <f t="shared" si="16"/>
        <v>0</v>
      </c>
      <c r="AX36" s="431">
        <f t="shared" si="17"/>
        <v>0</v>
      </c>
      <c r="AY36" s="433" t="s">
        <v>4732</v>
      </c>
      <c r="AZ36" s="433" t="s">
        <v>4733</v>
      </c>
      <c r="BA36" s="405" t="s">
        <v>4705</v>
      </c>
      <c r="BC36" s="431">
        <f t="shared" si="18"/>
        <v>0</v>
      </c>
      <c r="BD36" s="431">
        <f t="shared" si="19"/>
        <v>0</v>
      </c>
      <c r="BE36" s="431">
        <v>0</v>
      </c>
      <c r="BF36" s="431">
        <f t="shared" si="20"/>
        <v>0</v>
      </c>
      <c r="BH36" s="429">
        <f t="shared" si="21"/>
        <v>0</v>
      </c>
      <c r="BI36" s="429">
        <f t="shared" si="22"/>
        <v>0</v>
      </c>
      <c r="BJ36" s="429">
        <f t="shared" si="23"/>
        <v>0</v>
      </c>
      <c r="BK36" s="429" t="s">
        <v>813</v>
      </c>
      <c r="BL36" s="431">
        <v>730</v>
      </c>
    </row>
    <row r="37" spans="1:64" ht="12">
      <c r="A37" s="425" t="s">
        <v>302</v>
      </c>
      <c r="B37" s="426"/>
      <c r="C37" s="426" t="s">
        <v>4748</v>
      </c>
      <c r="D37" s="427" t="s">
        <v>4749</v>
      </c>
      <c r="E37" s="428"/>
      <c r="F37" s="426" t="s">
        <v>183</v>
      </c>
      <c r="G37" s="429">
        <v>3.4872</v>
      </c>
      <c r="H37" s="429"/>
      <c r="I37" s="429">
        <f t="shared" si="0"/>
        <v>0</v>
      </c>
      <c r="J37" s="429">
        <f t="shared" si="1"/>
        <v>0</v>
      </c>
      <c r="K37" s="429">
        <f t="shared" si="2"/>
        <v>0</v>
      </c>
      <c r="L37" s="429">
        <v>0</v>
      </c>
      <c r="M37" s="429">
        <f t="shared" si="3"/>
        <v>0</v>
      </c>
      <c r="N37" s="430" t="s">
        <v>4702</v>
      </c>
      <c r="O37" s="383"/>
      <c r="Z37" s="431">
        <f t="shared" si="4"/>
        <v>0</v>
      </c>
      <c r="AB37" s="431">
        <f t="shared" si="5"/>
        <v>0</v>
      </c>
      <c r="AC37" s="431">
        <f t="shared" si="6"/>
        <v>0</v>
      </c>
      <c r="AD37" s="431">
        <f t="shared" si="7"/>
        <v>0</v>
      </c>
      <c r="AE37" s="431">
        <f t="shared" si="8"/>
        <v>0</v>
      </c>
      <c r="AF37" s="431">
        <f t="shared" si="9"/>
        <v>0</v>
      </c>
      <c r="AG37" s="431">
        <f t="shared" si="10"/>
        <v>0</v>
      </c>
      <c r="AH37" s="431">
        <f t="shared" si="11"/>
        <v>0</v>
      </c>
      <c r="AI37" s="405"/>
      <c r="AJ37" s="429">
        <f t="shared" si="12"/>
        <v>0</v>
      </c>
      <c r="AK37" s="429">
        <f t="shared" si="13"/>
        <v>0</v>
      </c>
      <c r="AL37" s="429">
        <f t="shared" si="14"/>
        <v>0</v>
      </c>
      <c r="AN37" s="431">
        <v>21</v>
      </c>
      <c r="AO37" s="431">
        <f t="shared" si="24"/>
        <v>0</v>
      </c>
      <c r="AP37" s="431">
        <f t="shared" si="25"/>
        <v>0</v>
      </c>
      <c r="AQ37" s="432" t="s">
        <v>200</v>
      </c>
      <c r="AV37" s="431">
        <f t="shared" si="15"/>
        <v>0</v>
      </c>
      <c r="AW37" s="431">
        <f t="shared" si="16"/>
        <v>0</v>
      </c>
      <c r="AX37" s="431">
        <f t="shared" si="17"/>
        <v>0</v>
      </c>
      <c r="AY37" s="433" t="s">
        <v>4732</v>
      </c>
      <c r="AZ37" s="433" t="s">
        <v>4733</v>
      </c>
      <c r="BA37" s="405" t="s">
        <v>4705</v>
      </c>
      <c r="BC37" s="431">
        <f t="shared" si="18"/>
        <v>0</v>
      </c>
      <c r="BD37" s="431">
        <f t="shared" si="19"/>
        <v>0</v>
      </c>
      <c r="BE37" s="431">
        <v>0</v>
      </c>
      <c r="BF37" s="431">
        <f t="shared" si="20"/>
        <v>0</v>
      </c>
      <c r="BH37" s="429">
        <f t="shared" si="21"/>
        <v>0</v>
      </c>
      <c r="BI37" s="429">
        <f t="shared" si="22"/>
        <v>0</v>
      </c>
      <c r="BJ37" s="429">
        <f t="shared" si="23"/>
        <v>0</v>
      </c>
      <c r="BK37" s="429" t="s">
        <v>813</v>
      </c>
      <c r="BL37" s="431">
        <v>730</v>
      </c>
    </row>
    <row r="38" spans="1:64" ht="12">
      <c r="A38" s="425" t="s">
        <v>315</v>
      </c>
      <c r="B38" s="426"/>
      <c r="C38" s="426" t="s">
        <v>4750</v>
      </c>
      <c r="D38" s="427" t="s">
        <v>4751</v>
      </c>
      <c r="E38" s="428"/>
      <c r="F38" s="426" t="s">
        <v>183</v>
      </c>
      <c r="G38" s="429">
        <v>3.4872</v>
      </c>
      <c r="H38" s="429"/>
      <c r="I38" s="429">
        <f t="shared" si="0"/>
        <v>0</v>
      </c>
      <c r="J38" s="429">
        <f t="shared" si="1"/>
        <v>0</v>
      </c>
      <c r="K38" s="429">
        <f t="shared" si="2"/>
        <v>0</v>
      </c>
      <c r="L38" s="429">
        <v>0</v>
      </c>
      <c r="M38" s="429">
        <f t="shared" si="3"/>
        <v>0</v>
      </c>
      <c r="N38" s="430" t="s">
        <v>4702</v>
      </c>
      <c r="O38" s="383"/>
      <c r="Z38" s="431">
        <f t="shared" si="4"/>
        <v>0</v>
      </c>
      <c r="AB38" s="431">
        <f t="shared" si="5"/>
        <v>0</v>
      </c>
      <c r="AC38" s="431">
        <f t="shared" si="6"/>
        <v>0</v>
      </c>
      <c r="AD38" s="431">
        <f t="shared" si="7"/>
        <v>0</v>
      </c>
      <c r="AE38" s="431">
        <f t="shared" si="8"/>
        <v>0</v>
      </c>
      <c r="AF38" s="431">
        <f t="shared" si="9"/>
        <v>0</v>
      </c>
      <c r="AG38" s="431">
        <f t="shared" si="10"/>
        <v>0</v>
      </c>
      <c r="AH38" s="431">
        <f t="shared" si="11"/>
        <v>0</v>
      </c>
      <c r="AI38" s="405"/>
      <c r="AJ38" s="429">
        <f t="shared" si="12"/>
        <v>0</v>
      </c>
      <c r="AK38" s="429">
        <f t="shared" si="13"/>
        <v>0</v>
      </c>
      <c r="AL38" s="429">
        <f t="shared" si="14"/>
        <v>0</v>
      </c>
      <c r="AN38" s="431">
        <v>21</v>
      </c>
      <c r="AO38" s="431">
        <f t="shared" si="24"/>
        <v>0</v>
      </c>
      <c r="AP38" s="431">
        <f t="shared" si="25"/>
        <v>0</v>
      </c>
      <c r="AQ38" s="432" t="s">
        <v>200</v>
      </c>
      <c r="AV38" s="431">
        <f t="shared" si="15"/>
        <v>0</v>
      </c>
      <c r="AW38" s="431">
        <f t="shared" si="16"/>
        <v>0</v>
      </c>
      <c r="AX38" s="431">
        <f t="shared" si="17"/>
        <v>0</v>
      </c>
      <c r="AY38" s="433" t="s">
        <v>4732</v>
      </c>
      <c r="AZ38" s="433" t="s">
        <v>4733</v>
      </c>
      <c r="BA38" s="405" t="s">
        <v>4705</v>
      </c>
      <c r="BC38" s="431">
        <f t="shared" si="18"/>
        <v>0</v>
      </c>
      <c r="BD38" s="431">
        <f t="shared" si="19"/>
        <v>0</v>
      </c>
      <c r="BE38" s="431">
        <v>0</v>
      </c>
      <c r="BF38" s="431">
        <f t="shared" si="20"/>
        <v>0</v>
      </c>
      <c r="BH38" s="429">
        <f t="shared" si="21"/>
        <v>0</v>
      </c>
      <c r="BI38" s="429">
        <f t="shared" si="22"/>
        <v>0</v>
      </c>
      <c r="BJ38" s="429">
        <f t="shared" si="23"/>
        <v>0</v>
      </c>
      <c r="BK38" s="429" t="s">
        <v>813</v>
      </c>
      <c r="BL38" s="431">
        <v>730</v>
      </c>
    </row>
    <row r="39" spans="1:64" ht="12">
      <c r="A39" s="425" t="s">
        <v>461</v>
      </c>
      <c r="B39" s="426"/>
      <c r="C39" s="426" t="s">
        <v>4752</v>
      </c>
      <c r="D39" s="427" t="s">
        <v>4753</v>
      </c>
      <c r="E39" s="428"/>
      <c r="F39" s="426" t="s">
        <v>183</v>
      </c>
      <c r="G39" s="429">
        <v>69.744</v>
      </c>
      <c r="H39" s="429"/>
      <c r="I39" s="429">
        <f t="shared" si="0"/>
        <v>0</v>
      </c>
      <c r="J39" s="429">
        <f t="shared" si="1"/>
        <v>0</v>
      </c>
      <c r="K39" s="429">
        <f t="shared" si="2"/>
        <v>0</v>
      </c>
      <c r="L39" s="429">
        <v>0</v>
      </c>
      <c r="M39" s="429">
        <f t="shared" si="3"/>
        <v>0</v>
      </c>
      <c r="N39" s="430" t="s">
        <v>4702</v>
      </c>
      <c r="O39" s="383"/>
      <c r="Z39" s="431">
        <f t="shared" si="4"/>
        <v>0</v>
      </c>
      <c r="AB39" s="431">
        <f t="shared" si="5"/>
        <v>0</v>
      </c>
      <c r="AC39" s="431">
        <f t="shared" si="6"/>
        <v>0</v>
      </c>
      <c r="AD39" s="431">
        <f t="shared" si="7"/>
        <v>0</v>
      </c>
      <c r="AE39" s="431">
        <f t="shared" si="8"/>
        <v>0</v>
      </c>
      <c r="AF39" s="431">
        <f t="shared" si="9"/>
        <v>0</v>
      </c>
      <c r="AG39" s="431">
        <f t="shared" si="10"/>
        <v>0</v>
      </c>
      <c r="AH39" s="431">
        <f t="shared" si="11"/>
        <v>0</v>
      </c>
      <c r="AI39" s="405"/>
      <c r="AJ39" s="429">
        <f t="shared" si="12"/>
        <v>0</v>
      </c>
      <c r="AK39" s="429">
        <f t="shared" si="13"/>
        <v>0</v>
      </c>
      <c r="AL39" s="429">
        <f t="shared" si="14"/>
        <v>0</v>
      </c>
      <c r="AN39" s="431">
        <v>21</v>
      </c>
      <c r="AO39" s="431">
        <f t="shared" si="24"/>
        <v>0</v>
      </c>
      <c r="AP39" s="431">
        <f t="shared" si="25"/>
        <v>0</v>
      </c>
      <c r="AQ39" s="432" t="s">
        <v>200</v>
      </c>
      <c r="AV39" s="431">
        <f t="shared" si="15"/>
        <v>0</v>
      </c>
      <c r="AW39" s="431">
        <f t="shared" si="16"/>
        <v>0</v>
      </c>
      <c r="AX39" s="431">
        <f t="shared" si="17"/>
        <v>0</v>
      </c>
      <c r="AY39" s="433" t="s">
        <v>4732</v>
      </c>
      <c r="AZ39" s="433" t="s">
        <v>4733</v>
      </c>
      <c r="BA39" s="405" t="s">
        <v>4705</v>
      </c>
      <c r="BC39" s="431">
        <f t="shared" si="18"/>
        <v>0</v>
      </c>
      <c r="BD39" s="431">
        <f t="shared" si="19"/>
        <v>0</v>
      </c>
      <c r="BE39" s="431">
        <v>0</v>
      </c>
      <c r="BF39" s="431">
        <f t="shared" si="20"/>
        <v>0</v>
      </c>
      <c r="BH39" s="429">
        <f t="shared" si="21"/>
        <v>0</v>
      </c>
      <c r="BI39" s="429">
        <f t="shared" si="22"/>
        <v>0</v>
      </c>
      <c r="BJ39" s="429">
        <f t="shared" si="23"/>
        <v>0</v>
      </c>
      <c r="BK39" s="429" t="s">
        <v>813</v>
      </c>
      <c r="BL39" s="431">
        <v>730</v>
      </c>
    </row>
    <row r="40" spans="1:64" ht="12">
      <c r="A40" s="425" t="s">
        <v>467</v>
      </c>
      <c r="B40" s="426"/>
      <c r="C40" s="426" t="s">
        <v>4754</v>
      </c>
      <c r="D40" s="427" t="s">
        <v>4755</v>
      </c>
      <c r="E40" s="428"/>
      <c r="F40" s="426" t="s">
        <v>183</v>
      </c>
      <c r="G40" s="429">
        <v>3.4872</v>
      </c>
      <c r="H40" s="429"/>
      <c r="I40" s="429">
        <f t="shared" si="0"/>
        <v>0</v>
      </c>
      <c r="J40" s="429">
        <f t="shared" si="1"/>
        <v>0</v>
      </c>
      <c r="K40" s="429">
        <f t="shared" si="2"/>
        <v>0</v>
      </c>
      <c r="L40" s="429">
        <v>0</v>
      </c>
      <c r="M40" s="429">
        <f t="shared" si="3"/>
        <v>0</v>
      </c>
      <c r="N40" s="430" t="s">
        <v>4702</v>
      </c>
      <c r="O40" s="383"/>
      <c r="Z40" s="431">
        <f t="shared" si="4"/>
        <v>0</v>
      </c>
      <c r="AB40" s="431">
        <f t="shared" si="5"/>
        <v>0</v>
      </c>
      <c r="AC40" s="431">
        <f t="shared" si="6"/>
        <v>0</v>
      </c>
      <c r="AD40" s="431">
        <f t="shared" si="7"/>
        <v>0</v>
      </c>
      <c r="AE40" s="431">
        <f t="shared" si="8"/>
        <v>0</v>
      </c>
      <c r="AF40" s="431">
        <f t="shared" si="9"/>
        <v>0</v>
      </c>
      <c r="AG40" s="431">
        <f t="shared" si="10"/>
        <v>0</v>
      </c>
      <c r="AH40" s="431">
        <f t="shared" si="11"/>
        <v>0</v>
      </c>
      <c r="AI40" s="405"/>
      <c r="AJ40" s="429">
        <f t="shared" si="12"/>
        <v>0</v>
      </c>
      <c r="AK40" s="429">
        <f t="shared" si="13"/>
        <v>0</v>
      </c>
      <c r="AL40" s="429">
        <f t="shared" si="14"/>
        <v>0</v>
      </c>
      <c r="AN40" s="431">
        <v>21</v>
      </c>
      <c r="AO40" s="431">
        <f t="shared" si="24"/>
        <v>0</v>
      </c>
      <c r="AP40" s="431">
        <f t="shared" si="25"/>
        <v>0</v>
      </c>
      <c r="AQ40" s="432" t="s">
        <v>200</v>
      </c>
      <c r="AV40" s="431">
        <f t="shared" si="15"/>
        <v>0</v>
      </c>
      <c r="AW40" s="431">
        <f t="shared" si="16"/>
        <v>0</v>
      </c>
      <c r="AX40" s="431">
        <f t="shared" si="17"/>
        <v>0</v>
      </c>
      <c r="AY40" s="433" t="s">
        <v>4732</v>
      </c>
      <c r="AZ40" s="433" t="s">
        <v>4733</v>
      </c>
      <c r="BA40" s="405" t="s">
        <v>4705</v>
      </c>
      <c r="BC40" s="431">
        <f t="shared" si="18"/>
        <v>0</v>
      </c>
      <c r="BD40" s="431">
        <f t="shared" si="19"/>
        <v>0</v>
      </c>
      <c r="BE40" s="431">
        <v>0</v>
      </c>
      <c r="BF40" s="431">
        <f t="shared" si="20"/>
        <v>0</v>
      </c>
      <c r="BH40" s="429">
        <f t="shared" si="21"/>
        <v>0</v>
      </c>
      <c r="BI40" s="429">
        <f t="shared" si="22"/>
        <v>0</v>
      </c>
      <c r="BJ40" s="429">
        <f t="shared" si="23"/>
        <v>0</v>
      </c>
      <c r="BK40" s="429" t="s">
        <v>813</v>
      </c>
      <c r="BL40" s="431">
        <v>730</v>
      </c>
    </row>
    <row r="41" spans="1:64" ht="12">
      <c r="A41" s="425" t="s">
        <v>8</v>
      </c>
      <c r="B41" s="426"/>
      <c r="C41" s="426" t="s">
        <v>4756</v>
      </c>
      <c r="D41" s="427" t="s">
        <v>4757</v>
      </c>
      <c r="E41" s="428"/>
      <c r="F41" s="426" t="s">
        <v>183</v>
      </c>
      <c r="G41" s="429">
        <v>0.168</v>
      </c>
      <c r="H41" s="429"/>
      <c r="I41" s="429">
        <f t="shared" si="0"/>
        <v>0</v>
      </c>
      <c r="J41" s="429">
        <f t="shared" si="1"/>
        <v>0</v>
      </c>
      <c r="K41" s="429">
        <f t="shared" si="2"/>
        <v>0</v>
      </c>
      <c r="L41" s="429">
        <v>0</v>
      </c>
      <c r="M41" s="429">
        <f t="shared" si="3"/>
        <v>0</v>
      </c>
      <c r="N41" s="430" t="s">
        <v>4702</v>
      </c>
      <c r="O41" s="383"/>
      <c r="Z41" s="431">
        <f t="shared" si="4"/>
        <v>0</v>
      </c>
      <c r="AB41" s="431">
        <f t="shared" si="5"/>
        <v>0</v>
      </c>
      <c r="AC41" s="431">
        <f t="shared" si="6"/>
        <v>0</v>
      </c>
      <c r="AD41" s="431">
        <f t="shared" si="7"/>
        <v>0</v>
      </c>
      <c r="AE41" s="431">
        <f t="shared" si="8"/>
        <v>0</v>
      </c>
      <c r="AF41" s="431">
        <f t="shared" si="9"/>
        <v>0</v>
      </c>
      <c r="AG41" s="431">
        <f t="shared" si="10"/>
        <v>0</v>
      </c>
      <c r="AH41" s="431">
        <f t="shared" si="11"/>
        <v>0</v>
      </c>
      <c r="AI41" s="405"/>
      <c r="AJ41" s="429">
        <f t="shared" si="12"/>
        <v>0</v>
      </c>
      <c r="AK41" s="429">
        <f t="shared" si="13"/>
        <v>0</v>
      </c>
      <c r="AL41" s="429">
        <f t="shared" si="14"/>
        <v>0</v>
      </c>
      <c r="AN41" s="431">
        <v>21</v>
      </c>
      <c r="AO41" s="431">
        <f t="shared" si="24"/>
        <v>0</v>
      </c>
      <c r="AP41" s="431">
        <f t="shared" si="25"/>
        <v>0</v>
      </c>
      <c r="AQ41" s="432" t="s">
        <v>200</v>
      </c>
      <c r="AV41" s="431">
        <f t="shared" si="15"/>
        <v>0</v>
      </c>
      <c r="AW41" s="431">
        <f t="shared" si="16"/>
        <v>0</v>
      </c>
      <c r="AX41" s="431">
        <f t="shared" si="17"/>
        <v>0</v>
      </c>
      <c r="AY41" s="433" t="s">
        <v>4732</v>
      </c>
      <c r="AZ41" s="433" t="s">
        <v>4733</v>
      </c>
      <c r="BA41" s="405" t="s">
        <v>4705</v>
      </c>
      <c r="BC41" s="431">
        <f t="shared" si="18"/>
        <v>0</v>
      </c>
      <c r="BD41" s="431">
        <f t="shared" si="19"/>
        <v>0</v>
      </c>
      <c r="BE41" s="431">
        <v>0</v>
      </c>
      <c r="BF41" s="431">
        <f t="shared" si="20"/>
        <v>0</v>
      </c>
      <c r="BH41" s="429">
        <f t="shared" si="21"/>
        <v>0</v>
      </c>
      <c r="BI41" s="429">
        <f t="shared" si="22"/>
        <v>0</v>
      </c>
      <c r="BJ41" s="429">
        <f t="shared" si="23"/>
        <v>0</v>
      </c>
      <c r="BK41" s="429" t="s">
        <v>813</v>
      </c>
      <c r="BL41" s="431">
        <v>730</v>
      </c>
    </row>
    <row r="42" spans="1:47" ht="12">
      <c r="A42" s="438"/>
      <c r="B42" s="439"/>
      <c r="C42" s="439" t="s">
        <v>4758</v>
      </c>
      <c r="D42" s="440" t="s">
        <v>4759</v>
      </c>
      <c r="E42" s="441"/>
      <c r="F42" s="442" t="s">
        <v>4598</v>
      </c>
      <c r="G42" s="442" t="s">
        <v>4598</v>
      </c>
      <c r="H42" s="442" t="s">
        <v>4598</v>
      </c>
      <c r="I42" s="424">
        <f>SUM(I43:I55)</f>
        <v>0</v>
      </c>
      <c r="J42" s="424">
        <f>SUM(J43:J55)</f>
        <v>0</v>
      </c>
      <c r="K42" s="424">
        <f>SUM(K43:K55)</f>
        <v>0</v>
      </c>
      <c r="L42" s="405"/>
      <c r="M42" s="424">
        <f>SUM(M43:M55)</f>
        <v>0.6165</v>
      </c>
      <c r="N42" s="443"/>
      <c r="O42" s="383"/>
      <c r="AI42" s="405"/>
      <c r="AS42" s="424">
        <f>SUM(AJ43:AJ55)</f>
        <v>0</v>
      </c>
      <c r="AT42" s="424">
        <f>SUM(AK43:AK55)</f>
        <v>0</v>
      </c>
      <c r="AU42" s="424">
        <f>SUM(AL43:AL55)</f>
        <v>0</v>
      </c>
    </row>
    <row r="43" spans="1:64" ht="12">
      <c r="A43" s="425" t="s">
        <v>483</v>
      </c>
      <c r="B43" s="426"/>
      <c r="C43" s="426" t="s">
        <v>4760</v>
      </c>
      <c r="D43" s="427" t="s">
        <v>4761</v>
      </c>
      <c r="E43" s="428"/>
      <c r="F43" s="426" t="s">
        <v>476</v>
      </c>
      <c r="G43" s="429">
        <v>150</v>
      </c>
      <c r="H43" s="429"/>
      <c r="I43" s="429">
        <f aca="true" t="shared" si="26" ref="I43:I55">G43*AO43</f>
        <v>0</v>
      </c>
      <c r="J43" s="429">
        <f aca="true" t="shared" si="27" ref="J43:J55">G43*AP43</f>
        <v>0</v>
      </c>
      <c r="K43" s="429">
        <f aca="true" t="shared" si="28" ref="K43:K55">G43*H43</f>
        <v>0</v>
      </c>
      <c r="L43" s="429">
        <v>0.00076</v>
      </c>
      <c r="M43" s="429">
        <f aca="true" t="shared" si="29" ref="M43:M55">G43*L43</f>
        <v>0.114</v>
      </c>
      <c r="N43" s="430" t="s">
        <v>4702</v>
      </c>
      <c r="O43" s="383"/>
      <c r="Z43" s="431">
        <f aca="true" t="shared" si="30" ref="Z43:Z55">IF(AQ43="5",BJ43,0)</f>
        <v>0</v>
      </c>
      <c r="AB43" s="431">
        <f aca="true" t="shared" si="31" ref="AB43:AB55">IF(AQ43="1",BH43,0)</f>
        <v>0</v>
      </c>
      <c r="AC43" s="431">
        <f aca="true" t="shared" si="32" ref="AC43:AC55">IF(AQ43="1",BI43,0)</f>
        <v>0</v>
      </c>
      <c r="AD43" s="431">
        <f aca="true" t="shared" si="33" ref="AD43:AD55">IF(AQ43="7",BH43,0)</f>
        <v>0</v>
      </c>
      <c r="AE43" s="431">
        <f aca="true" t="shared" si="34" ref="AE43:AE55">IF(AQ43="7",BI43,0)</f>
        <v>0</v>
      </c>
      <c r="AF43" s="431">
        <f aca="true" t="shared" si="35" ref="AF43:AF55">IF(AQ43="2",BH43,0)</f>
        <v>0</v>
      </c>
      <c r="AG43" s="431">
        <f aca="true" t="shared" si="36" ref="AG43:AG55">IF(AQ43="2",BI43,0)</f>
        <v>0</v>
      </c>
      <c r="AH43" s="431">
        <f aca="true" t="shared" si="37" ref="AH43:AH55">IF(AQ43="0",BJ43,0)</f>
        <v>0</v>
      </c>
      <c r="AI43" s="405"/>
      <c r="AJ43" s="429">
        <f aca="true" t="shared" si="38" ref="AJ43:AJ55">IF(AN43=0,K43,0)</f>
        <v>0</v>
      </c>
      <c r="AK43" s="429">
        <f aca="true" t="shared" si="39" ref="AK43:AK55">IF(AN43=15,K43,0)</f>
        <v>0</v>
      </c>
      <c r="AL43" s="429">
        <f aca="true" t="shared" si="40" ref="AL43:AL55">IF(AN43=21,K43,0)</f>
        <v>0</v>
      </c>
      <c r="AN43" s="431">
        <v>21</v>
      </c>
      <c r="AO43" s="431">
        <f>H43*0.588695652173913</f>
        <v>0</v>
      </c>
      <c r="AP43" s="431">
        <f>H43*(1-0.588695652173913)</f>
        <v>0</v>
      </c>
      <c r="AQ43" s="432" t="s">
        <v>241</v>
      </c>
      <c r="AV43" s="431">
        <f aca="true" t="shared" si="41" ref="AV43:AV55">AW43+AX43</f>
        <v>0</v>
      </c>
      <c r="AW43" s="431">
        <f aca="true" t="shared" si="42" ref="AW43:AW55">G43*AO43</f>
        <v>0</v>
      </c>
      <c r="AX43" s="431">
        <f aca="true" t="shared" si="43" ref="AX43:AX55">G43*AP43</f>
        <v>0</v>
      </c>
      <c r="AY43" s="433" t="s">
        <v>4762</v>
      </c>
      <c r="AZ43" s="433" t="s">
        <v>4733</v>
      </c>
      <c r="BA43" s="405" t="s">
        <v>4705</v>
      </c>
      <c r="BC43" s="431">
        <f aca="true" t="shared" si="44" ref="BC43:BC55">AW43+AX43</f>
        <v>0</v>
      </c>
      <c r="BD43" s="431">
        <f aca="true" t="shared" si="45" ref="BD43:BD55">H43/(100-BE43)*100</f>
        <v>0</v>
      </c>
      <c r="BE43" s="431">
        <v>0</v>
      </c>
      <c r="BF43" s="431">
        <f aca="true" t="shared" si="46" ref="BF43:BF55">M43</f>
        <v>0.114</v>
      </c>
      <c r="BH43" s="429">
        <f aca="true" t="shared" si="47" ref="BH43:BH55">G43*AO43</f>
        <v>0</v>
      </c>
      <c r="BI43" s="429">
        <f aca="true" t="shared" si="48" ref="BI43:BI55">G43*AP43</f>
        <v>0</v>
      </c>
      <c r="BJ43" s="429">
        <f aca="true" t="shared" si="49" ref="BJ43:BJ55">G43*H43</f>
        <v>0</v>
      </c>
      <c r="BK43" s="429" t="s">
        <v>813</v>
      </c>
      <c r="BL43" s="431">
        <v>733</v>
      </c>
    </row>
    <row r="44" spans="1:64" ht="12">
      <c r="A44" s="425" t="s">
        <v>490</v>
      </c>
      <c r="B44" s="426"/>
      <c r="C44" s="426" t="s">
        <v>4763</v>
      </c>
      <c r="D44" s="427" t="s">
        <v>4764</v>
      </c>
      <c r="E44" s="428"/>
      <c r="F44" s="426" t="s">
        <v>476</v>
      </c>
      <c r="G44" s="429">
        <v>110</v>
      </c>
      <c r="H44" s="429"/>
      <c r="I44" s="429">
        <f t="shared" si="26"/>
        <v>0</v>
      </c>
      <c r="J44" s="429">
        <f t="shared" si="27"/>
        <v>0</v>
      </c>
      <c r="K44" s="429">
        <f t="shared" si="28"/>
        <v>0</v>
      </c>
      <c r="L44" s="429">
        <v>0.00088</v>
      </c>
      <c r="M44" s="429">
        <f t="shared" si="29"/>
        <v>0.0968</v>
      </c>
      <c r="N44" s="430" t="s">
        <v>4702</v>
      </c>
      <c r="O44" s="383"/>
      <c r="Z44" s="431">
        <f t="shared" si="30"/>
        <v>0</v>
      </c>
      <c r="AB44" s="431">
        <f t="shared" si="31"/>
        <v>0</v>
      </c>
      <c r="AC44" s="431">
        <f t="shared" si="32"/>
        <v>0</v>
      </c>
      <c r="AD44" s="431">
        <f t="shared" si="33"/>
        <v>0</v>
      </c>
      <c r="AE44" s="431">
        <f t="shared" si="34"/>
        <v>0</v>
      </c>
      <c r="AF44" s="431">
        <f t="shared" si="35"/>
        <v>0</v>
      </c>
      <c r="AG44" s="431">
        <f t="shared" si="36"/>
        <v>0</v>
      </c>
      <c r="AH44" s="431">
        <f t="shared" si="37"/>
        <v>0</v>
      </c>
      <c r="AI44" s="405"/>
      <c r="AJ44" s="429">
        <f t="shared" si="38"/>
        <v>0</v>
      </c>
      <c r="AK44" s="429">
        <f t="shared" si="39"/>
        <v>0</v>
      </c>
      <c r="AL44" s="429">
        <f t="shared" si="40"/>
        <v>0</v>
      </c>
      <c r="AN44" s="431">
        <v>21</v>
      </c>
      <c r="AO44" s="431">
        <f>H44*0.641507853403141</f>
        <v>0</v>
      </c>
      <c r="AP44" s="431">
        <f>H44*(1-0.641507853403141)</f>
        <v>0</v>
      </c>
      <c r="AQ44" s="432" t="s">
        <v>241</v>
      </c>
      <c r="AV44" s="431">
        <f t="shared" si="41"/>
        <v>0</v>
      </c>
      <c r="AW44" s="431">
        <f t="shared" si="42"/>
        <v>0</v>
      </c>
      <c r="AX44" s="431">
        <f t="shared" si="43"/>
        <v>0</v>
      </c>
      <c r="AY44" s="433" t="s">
        <v>4762</v>
      </c>
      <c r="AZ44" s="433" t="s">
        <v>4733</v>
      </c>
      <c r="BA44" s="405" t="s">
        <v>4705</v>
      </c>
      <c r="BC44" s="431">
        <f t="shared" si="44"/>
        <v>0</v>
      </c>
      <c r="BD44" s="431">
        <f t="shared" si="45"/>
        <v>0</v>
      </c>
      <c r="BE44" s="431">
        <v>0</v>
      </c>
      <c r="BF44" s="431">
        <f t="shared" si="46"/>
        <v>0.0968</v>
      </c>
      <c r="BH44" s="429">
        <f t="shared" si="47"/>
        <v>0</v>
      </c>
      <c r="BI44" s="429">
        <f t="shared" si="48"/>
        <v>0</v>
      </c>
      <c r="BJ44" s="429">
        <f t="shared" si="49"/>
        <v>0</v>
      </c>
      <c r="BK44" s="429" t="s">
        <v>813</v>
      </c>
      <c r="BL44" s="431">
        <v>733</v>
      </c>
    </row>
    <row r="45" spans="1:64" ht="12">
      <c r="A45" s="425" t="s">
        <v>496</v>
      </c>
      <c r="B45" s="426"/>
      <c r="C45" s="426" t="s">
        <v>4765</v>
      </c>
      <c r="D45" s="427" t="s">
        <v>4766</v>
      </c>
      <c r="E45" s="428"/>
      <c r="F45" s="426" t="s">
        <v>476</v>
      </c>
      <c r="G45" s="429">
        <v>10</v>
      </c>
      <c r="H45" s="429"/>
      <c r="I45" s="429">
        <f t="shared" si="26"/>
        <v>0</v>
      </c>
      <c r="J45" s="429">
        <f t="shared" si="27"/>
        <v>0</v>
      </c>
      <c r="K45" s="429">
        <f t="shared" si="28"/>
        <v>0</v>
      </c>
      <c r="L45" s="429">
        <v>0.00101</v>
      </c>
      <c r="M45" s="429">
        <f t="shared" si="29"/>
        <v>0.010100000000000001</v>
      </c>
      <c r="N45" s="430" t="s">
        <v>4702</v>
      </c>
      <c r="O45" s="383"/>
      <c r="Z45" s="431">
        <f t="shared" si="30"/>
        <v>0</v>
      </c>
      <c r="AB45" s="431">
        <f t="shared" si="31"/>
        <v>0</v>
      </c>
      <c r="AC45" s="431">
        <f t="shared" si="32"/>
        <v>0</v>
      </c>
      <c r="AD45" s="431">
        <f t="shared" si="33"/>
        <v>0</v>
      </c>
      <c r="AE45" s="431">
        <f t="shared" si="34"/>
        <v>0</v>
      </c>
      <c r="AF45" s="431">
        <f t="shared" si="35"/>
        <v>0</v>
      </c>
      <c r="AG45" s="431">
        <f t="shared" si="36"/>
        <v>0</v>
      </c>
      <c r="AH45" s="431">
        <f t="shared" si="37"/>
        <v>0</v>
      </c>
      <c r="AI45" s="405"/>
      <c r="AJ45" s="429">
        <f t="shared" si="38"/>
        <v>0</v>
      </c>
      <c r="AK45" s="429">
        <f t="shared" si="39"/>
        <v>0</v>
      </c>
      <c r="AL45" s="429">
        <f t="shared" si="40"/>
        <v>0</v>
      </c>
      <c r="AN45" s="431">
        <v>21</v>
      </c>
      <c r="AO45" s="431">
        <f>H45*0.681405405405405</f>
        <v>0</v>
      </c>
      <c r="AP45" s="431">
        <f>H45*(1-0.681405405405405)</f>
        <v>0</v>
      </c>
      <c r="AQ45" s="432" t="s">
        <v>241</v>
      </c>
      <c r="AV45" s="431">
        <f t="shared" si="41"/>
        <v>0</v>
      </c>
      <c r="AW45" s="431">
        <f t="shared" si="42"/>
        <v>0</v>
      </c>
      <c r="AX45" s="431">
        <f t="shared" si="43"/>
        <v>0</v>
      </c>
      <c r="AY45" s="433" t="s">
        <v>4762</v>
      </c>
      <c r="AZ45" s="433" t="s">
        <v>4733</v>
      </c>
      <c r="BA45" s="405" t="s">
        <v>4705</v>
      </c>
      <c r="BC45" s="431">
        <f t="shared" si="44"/>
        <v>0</v>
      </c>
      <c r="BD45" s="431">
        <f t="shared" si="45"/>
        <v>0</v>
      </c>
      <c r="BE45" s="431">
        <v>0</v>
      </c>
      <c r="BF45" s="431">
        <f t="shared" si="46"/>
        <v>0.010100000000000001</v>
      </c>
      <c r="BH45" s="429">
        <f t="shared" si="47"/>
        <v>0</v>
      </c>
      <c r="BI45" s="429">
        <f t="shared" si="48"/>
        <v>0</v>
      </c>
      <c r="BJ45" s="429">
        <f t="shared" si="49"/>
        <v>0</v>
      </c>
      <c r="BK45" s="429" t="s">
        <v>813</v>
      </c>
      <c r="BL45" s="431">
        <v>733</v>
      </c>
    </row>
    <row r="46" spans="1:64" ht="12">
      <c r="A46" s="425" t="s">
        <v>502</v>
      </c>
      <c r="B46" s="426"/>
      <c r="C46" s="426" t="s">
        <v>4767</v>
      </c>
      <c r="D46" s="427" t="s">
        <v>4768</v>
      </c>
      <c r="E46" s="428"/>
      <c r="F46" s="426" t="s">
        <v>476</v>
      </c>
      <c r="G46" s="429">
        <v>45</v>
      </c>
      <c r="H46" s="429"/>
      <c r="I46" s="429">
        <f t="shared" si="26"/>
        <v>0</v>
      </c>
      <c r="J46" s="429">
        <f t="shared" si="27"/>
        <v>0</v>
      </c>
      <c r="K46" s="429">
        <f t="shared" si="28"/>
        <v>0</v>
      </c>
      <c r="L46" s="429">
        <v>0.0016</v>
      </c>
      <c r="M46" s="429">
        <f t="shared" si="29"/>
        <v>0.07200000000000001</v>
      </c>
      <c r="N46" s="430" t="s">
        <v>4702</v>
      </c>
      <c r="O46" s="383"/>
      <c r="Z46" s="431">
        <f t="shared" si="30"/>
        <v>0</v>
      </c>
      <c r="AB46" s="431">
        <f t="shared" si="31"/>
        <v>0</v>
      </c>
      <c r="AC46" s="431">
        <f t="shared" si="32"/>
        <v>0</v>
      </c>
      <c r="AD46" s="431">
        <f t="shared" si="33"/>
        <v>0</v>
      </c>
      <c r="AE46" s="431">
        <f t="shared" si="34"/>
        <v>0</v>
      </c>
      <c r="AF46" s="431">
        <f t="shared" si="35"/>
        <v>0</v>
      </c>
      <c r="AG46" s="431">
        <f t="shared" si="36"/>
        <v>0</v>
      </c>
      <c r="AH46" s="431">
        <f t="shared" si="37"/>
        <v>0</v>
      </c>
      <c r="AI46" s="405"/>
      <c r="AJ46" s="429">
        <f t="shared" si="38"/>
        <v>0</v>
      </c>
      <c r="AK46" s="429">
        <f t="shared" si="39"/>
        <v>0</v>
      </c>
      <c r="AL46" s="429">
        <f t="shared" si="40"/>
        <v>0</v>
      </c>
      <c r="AN46" s="431">
        <v>21</v>
      </c>
      <c r="AO46" s="431">
        <f>H46*0.760567010309278</f>
        <v>0</v>
      </c>
      <c r="AP46" s="431">
        <f>H46*(1-0.760567010309278)</f>
        <v>0</v>
      </c>
      <c r="AQ46" s="432" t="s">
        <v>241</v>
      </c>
      <c r="AV46" s="431">
        <f t="shared" si="41"/>
        <v>0</v>
      </c>
      <c r="AW46" s="431">
        <f t="shared" si="42"/>
        <v>0</v>
      </c>
      <c r="AX46" s="431">
        <f t="shared" si="43"/>
        <v>0</v>
      </c>
      <c r="AY46" s="433" t="s">
        <v>4762</v>
      </c>
      <c r="AZ46" s="433" t="s">
        <v>4733</v>
      </c>
      <c r="BA46" s="405" t="s">
        <v>4705</v>
      </c>
      <c r="BC46" s="431">
        <f t="shared" si="44"/>
        <v>0</v>
      </c>
      <c r="BD46" s="431">
        <f t="shared" si="45"/>
        <v>0</v>
      </c>
      <c r="BE46" s="431">
        <v>0</v>
      </c>
      <c r="BF46" s="431">
        <f t="shared" si="46"/>
        <v>0.07200000000000001</v>
      </c>
      <c r="BH46" s="429">
        <f t="shared" si="47"/>
        <v>0</v>
      </c>
      <c r="BI46" s="429">
        <f t="shared" si="48"/>
        <v>0</v>
      </c>
      <c r="BJ46" s="429">
        <f t="shared" si="49"/>
        <v>0</v>
      </c>
      <c r="BK46" s="429" t="s">
        <v>813</v>
      </c>
      <c r="BL46" s="431">
        <v>733</v>
      </c>
    </row>
    <row r="47" spans="1:64" ht="12">
      <c r="A47" s="425" t="s">
        <v>504</v>
      </c>
      <c r="B47" s="426"/>
      <c r="C47" s="426" t="s">
        <v>4769</v>
      </c>
      <c r="D47" s="427" t="s">
        <v>4770</v>
      </c>
      <c r="E47" s="428"/>
      <c r="F47" s="426" t="s">
        <v>476</v>
      </c>
      <c r="G47" s="429">
        <v>50</v>
      </c>
      <c r="H47" s="429"/>
      <c r="I47" s="429">
        <f t="shared" si="26"/>
        <v>0</v>
      </c>
      <c r="J47" s="429">
        <f t="shared" si="27"/>
        <v>0</v>
      </c>
      <c r="K47" s="429">
        <f t="shared" si="28"/>
        <v>0</v>
      </c>
      <c r="L47" s="429">
        <v>0.00196</v>
      </c>
      <c r="M47" s="429">
        <f t="shared" si="29"/>
        <v>0.098</v>
      </c>
      <c r="N47" s="430" t="s">
        <v>4702</v>
      </c>
      <c r="O47" s="383"/>
      <c r="Z47" s="431">
        <f t="shared" si="30"/>
        <v>0</v>
      </c>
      <c r="AB47" s="431">
        <f t="shared" si="31"/>
        <v>0</v>
      </c>
      <c r="AC47" s="431">
        <f t="shared" si="32"/>
        <v>0</v>
      </c>
      <c r="AD47" s="431">
        <f t="shared" si="33"/>
        <v>0</v>
      </c>
      <c r="AE47" s="431">
        <f t="shared" si="34"/>
        <v>0</v>
      </c>
      <c r="AF47" s="431">
        <f t="shared" si="35"/>
        <v>0</v>
      </c>
      <c r="AG47" s="431">
        <f t="shared" si="36"/>
        <v>0</v>
      </c>
      <c r="AH47" s="431">
        <f t="shared" si="37"/>
        <v>0</v>
      </c>
      <c r="AI47" s="405"/>
      <c r="AJ47" s="429">
        <f t="shared" si="38"/>
        <v>0</v>
      </c>
      <c r="AK47" s="429">
        <f t="shared" si="39"/>
        <v>0</v>
      </c>
      <c r="AL47" s="429">
        <f t="shared" si="40"/>
        <v>0</v>
      </c>
      <c r="AN47" s="431">
        <v>21</v>
      </c>
      <c r="AO47" s="431">
        <f>H47*0.805618305744888</f>
        <v>0</v>
      </c>
      <c r="AP47" s="431">
        <f>H47*(1-0.805618305744888)</f>
        <v>0</v>
      </c>
      <c r="AQ47" s="432" t="s">
        <v>241</v>
      </c>
      <c r="AV47" s="431">
        <f t="shared" si="41"/>
        <v>0</v>
      </c>
      <c r="AW47" s="431">
        <f t="shared" si="42"/>
        <v>0</v>
      </c>
      <c r="AX47" s="431">
        <f t="shared" si="43"/>
        <v>0</v>
      </c>
      <c r="AY47" s="433" t="s">
        <v>4762</v>
      </c>
      <c r="AZ47" s="433" t="s">
        <v>4733</v>
      </c>
      <c r="BA47" s="405" t="s">
        <v>4705</v>
      </c>
      <c r="BC47" s="431">
        <f t="shared" si="44"/>
        <v>0</v>
      </c>
      <c r="BD47" s="431">
        <f t="shared" si="45"/>
        <v>0</v>
      </c>
      <c r="BE47" s="431">
        <v>0</v>
      </c>
      <c r="BF47" s="431">
        <f t="shared" si="46"/>
        <v>0.098</v>
      </c>
      <c r="BH47" s="429">
        <f t="shared" si="47"/>
        <v>0</v>
      </c>
      <c r="BI47" s="429">
        <f t="shared" si="48"/>
        <v>0</v>
      </c>
      <c r="BJ47" s="429">
        <f t="shared" si="49"/>
        <v>0</v>
      </c>
      <c r="BK47" s="429" t="s">
        <v>813</v>
      </c>
      <c r="BL47" s="431">
        <v>733</v>
      </c>
    </row>
    <row r="48" spans="1:64" ht="12">
      <c r="A48" s="425" t="s">
        <v>507</v>
      </c>
      <c r="B48" s="426"/>
      <c r="C48" s="426" t="s">
        <v>4771</v>
      </c>
      <c r="D48" s="427" t="s">
        <v>4772</v>
      </c>
      <c r="E48" s="428"/>
      <c r="F48" s="426" t="s">
        <v>476</v>
      </c>
      <c r="G48" s="429">
        <v>56</v>
      </c>
      <c r="H48" s="429"/>
      <c r="I48" s="429">
        <f t="shared" si="26"/>
        <v>0</v>
      </c>
      <c r="J48" s="429">
        <f t="shared" si="27"/>
        <v>0</v>
      </c>
      <c r="K48" s="429">
        <f t="shared" si="28"/>
        <v>0</v>
      </c>
      <c r="L48" s="429">
        <v>0.00231</v>
      </c>
      <c r="M48" s="429">
        <f t="shared" si="29"/>
        <v>0.12936</v>
      </c>
      <c r="N48" s="430" t="s">
        <v>4702</v>
      </c>
      <c r="O48" s="383"/>
      <c r="Z48" s="431">
        <f t="shared" si="30"/>
        <v>0</v>
      </c>
      <c r="AB48" s="431">
        <f t="shared" si="31"/>
        <v>0</v>
      </c>
      <c r="AC48" s="431">
        <f t="shared" si="32"/>
        <v>0</v>
      </c>
      <c r="AD48" s="431">
        <f t="shared" si="33"/>
        <v>0</v>
      </c>
      <c r="AE48" s="431">
        <f t="shared" si="34"/>
        <v>0</v>
      </c>
      <c r="AF48" s="431">
        <f t="shared" si="35"/>
        <v>0</v>
      </c>
      <c r="AG48" s="431">
        <f t="shared" si="36"/>
        <v>0</v>
      </c>
      <c r="AH48" s="431">
        <f t="shared" si="37"/>
        <v>0</v>
      </c>
      <c r="AI48" s="405"/>
      <c r="AJ48" s="429">
        <f t="shared" si="38"/>
        <v>0</v>
      </c>
      <c r="AK48" s="429">
        <f t="shared" si="39"/>
        <v>0</v>
      </c>
      <c r="AL48" s="429">
        <f t="shared" si="40"/>
        <v>0</v>
      </c>
      <c r="AN48" s="431">
        <v>21</v>
      </c>
      <c r="AO48" s="431">
        <f>H48*0.822740683229814</f>
        <v>0</v>
      </c>
      <c r="AP48" s="431">
        <f>H48*(1-0.822740683229814)</f>
        <v>0</v>
      </c>
      <c r="AQ48" s="432" t="s">
        <v>241</v>
      </c>
      <c r="AV48" s="431">
        <f t="shared" si="41"/>
        <v>0</v>
      </c>
      <c r="AW48" s="431">
        <f t="shared" si="42"/>
        <v>0</v>
      </c>
      <c r="AX48" s="431">
        <f t="shared" si="43"/>
        <v>0</v>
      </c>
      <c r="AY48" s="433" t="s">
        <v>4762</v>
      </c>
      <c r="AZ48" s="433" t="s">
        <v>4733</v>
      </c>
      <c r="BA48" s="405" t="s">
        <v>4705</v>
      </c>
      <c r="BC48" s="431">
        <f t="shared" si="44"/>
        <v>0</v>
      </c>
      <c r="BD48" s="431">
        <f t="shared" si="45"/>
        <v>0</v>
      </c>
      <c r="BE48" s="431">
        <v>0</v>
      </c>
      <c r="BF48" s="431">
        <f t="shared" si="46"/>
        <v>0.12936</v>
      </c>
      <c r="BH48" s="429">
        <f t="shared" si="47"/>
        <v>0</v>
      </c>
      <c r="BI48" s="429">
        <f t="shared" si="48"/>
        <v>0</v>
      </c>
      <c r="BJ48" s="429">
        <f t="shared" si="49"/>
        <v>0</v>
      </c>
      <c r="BK48" s="429" t="s">
        <v>813</v>
      </c>
      <c r="BL48" s="431">
        <v>733</v>
      </c>
    </row>
    <row r="49" spans="1:64" ht="12">
      <c r="A49" s="425" t="s">
        <v>509</v>
      </c>
      <c r="B49" s="426"/>
      <c r="C49" s="426" t="s">
        <v>4773</v>
      </c>
      <c r="D49" s="427" t="s">
        <v>4774</v>
      </c>
      <c r="E49" s="428"/>
      <c r="F49" s="426" t="s">
        <v>476</v>
      </c>
      <c r="G49" s="429">
        <v>10</v>
      </c>
      <c r="H49" s="429"/>
      <c r="I49" s="429">
        <f t="shared" si="26"/>
        <v>0</v>
      </c>
      <c r="J49" s="429">
        <f t="shared" si="27"/>
        <v>0</v>
      </c>
      <c r="K49" s="429">
        <f t="shared" si="28"/>
        <v>0</v>
      </c>
      <c r="L49" s="429">
        <v>0.00374</v>
      </c>
      <c r="M49" s="429">
        <f t="shared" si="29"/>
        <v>0.037399999999999996</v>
      </c>
      <c r="N49" s="430" t="s">
        <v>4702</v>
      </c>
      <c r="O49" s="383"/>
      <c r="Z49" s="431">
        <f t="shared" si="30"/>
        <v>0</v>
      </c>
      <c r="AB49" s="431">
        <f t="shared" si="31"/>
        <v>0</v>
      </c>
      <c r="AC49" s="431">
        <f t="shared" si="32"/>
        <v>0</v>
      </c>
      <c r="AD49" s="431">
        <f t="shared" si="33"/>
        <v>0</v>
      </c>
      <c r="AE49" s="431">
        <f t="shared" si="34"/>
        <v>0</v>
      </c>
      <c r="AF49" s="431">
        <f t="shared" si="35"/>
        <v>0</v>
      </c>
      <c r="AG49" s="431">
        <f t="shared" si="36"/>
        <v>0</v>
      </c>
      <c r="AH49" s="431">
        <f t="shared" si="37"/>
        <v>0</v>
      </c>
      <c r="AI49" s="405"/>
      <c r="AJ49" s="429">
        <f t="shared" si="38"/>
        <v>0</v>
      </c>
      <c r="AK49" s="429">
        <f t="shared" si="39"/>
        <v>0</v>
      </c>
      <c r="AL49" s="429">
        <f t="shared" si="40"/>
        <v>0</v>
      </c>
      <c r="AN49" s="431">
        <v>21</v>
      </c>
      <c r="AO49" s="431">
        <f>H49*0.867997972630512</f>
        <v>0</v>
      </c>
      <c r="AP49" s="431">
        <f>H49*(1-0.867997972630512)</f>
        <v>0</v>
      </c>
      <c r="AQ49" s="432" t="s">
        <v>241</v>
      </c>
      <c r="AV49" s="431">
        <f t="shared" si="41"/>
        <v>0</v>
      </c>
      <c r="AW49" s="431">
        <f t="shared" si="42"/>
        <v>0</v>
      </c>
      <c r="AX49" s="431">
        <f t="shared" si="43"/>
        <v>0</v>
      </c>
      <c r="AY49" s="433" t="s">
        <v>4762</v>
      </c>
      <c r="AZ49" s="433" t="s">
        <v>4733</v>
      </c>
      <c r="BA49" s="405" t="s">
        <v>4705</v>
      </c>
      <c r="BC49" s="431">
        <f t="shared" si="44"/>
        <v>0</v>
      </c>
      <c r="BD49" s="431">
        <f t="shared" si="45"/>
        <v>0</v>
      </c>
      <c r="BE49" s="431">
        <v>0</v>
      </c>
      <c r="BF49" s="431">
        <f t="shared" si="46"/>
        <v>0.037399999999999996</v>
      </c>
      <c r="BH49" s="429">
        <f t="shared" si="47"/>
        <v>0</v>
      </c>
      <c r="BI49" s="429">
        <f t="shared" si="48"/>
        <v>0</v>
      </c>
      <c r="BJ49" s="429">
        <f t="shared" si="49"/>
        <v>0</v>
      </c>
      <c r="BK49" s="429" t="s">
        <v>813</v>
      </c>
      <c r="BL49" s="431">
        <v>733</v>
      </c>
    </row>
    <row r="50" spans="1:64" ht="12">
      <c r="A50" s="425" t="s">
        <v>512</v>
      </c>
      <c r="B50" s="426"/>
      <c r="C50" s="426" t="s">
        <v>4775</v>
      </c>
      <c r="D50" s="427" t="s">
        <v>4776</v>
      </c>
      <c r="E50" s="428"/>
      <c r="F50" s="426" t="s">
        <v>476</v>
      </c>
      <c r="G50" s="429">
        <v>365</v>
      </c>
      <c r="H50" s="429"/>
      <c r="I50" s="429">
        <f t="shared" si="26"/>
        <v>0</v>
      </c>
      <c r="J50" s="429">
        <f t="shared" si="27"/>
        <v>0</v>
      </c>
      <c r="K50" s="429">
        <f t="shared" si="28"/>
        <v>0</v>
      </c>
      <c r="L50" s="429">
        <v>0</v>
      </c>
      <c r="M50" s="429">
        <f t="shared" si="29"/>
        <v>0</v>
      </c>
      <c r="N50" s="430" t="s">
        <v>4702</v>
      </c>
      <c r="O50" s="383"/>
      <c r="Z50" s="431">
        <f t="shared" si="30"/>
        <v>0</v>
      </c>
      <c r="AB50" s="431">
        <f t="shared" si="31"/>
        <v>0</v>
      </c>
      <c r="AC50" s="431">
        <f t="shared" si="32"/>
        <v>0</v>
      </c>
      <c r="AD50" s="431">
        <f t="shared" si="33"/>
        <v>0</v>
      </c>
      <c r="AE50" s="431">
        <f t="shared" si="34"/>
        <v>0</v>
      </c>
      <c r="AF50" s="431">
        <f t="shared" si="35"/>
        <v>0</v>
      </c>
      <c r="AG50" s="431">
        <f t="shared" si="36"/>
        <v>0</v>
      </c>
      <c r="AH50" s="431">
        <f t="shared" si="37"/>
        <v>0</v>
      </c>
      <c r="AI50" s="405"/>
      <c r="AJ50" s="429">
        <f t="shared" si="38"/>
        <v>0</v>
      </c>
      <c r="AK50" s="429">
        <f t="shared" si="39"/>
        <v>0</v>
      </c>
      <c r="AL50" s="429">
        <f t="shared" si="40"/>
        <v>0</v>
      </c>
      <c r="AN50" s="431">
        <v>21</v>
      </c>
      <c r="AO50" s="431">
        <f>H50*0.0184210526315789</f>
        <v>0</v>
      </c>
      <c r="AP50" s="431">
        <f>H50*(1-0.0184210526315789)</f>
        <v>0</v>
      </c>
      <c r="AQ50" s="432" t="s">
        <v>241</v>
      </c>
      <c r="AV50" s="431">
        <f t="shared" si="41"/>
        <v>0</v>
      </c>
      <c r="AW50" s="431">
        <f t="shared" si="42"/>
        <v>0</v>
      </c>
      <c r="AX50" s="431">
        <f t="shared" si="43"/>
        <v>0</v>
      </c>
      <c r="AY50" s="433" t="s">
        <v>4762</v>
      </c>
      <c r="AZ50" s="433" t="s">
        <v>4733</v>
      </c>
      <c r="BA50" s="405" t="s">
        <v>4705</v>
      </c>
      <c r="BC50" s="431">
        <f t="shared" si="44"/>
        <v>0</v>
      </c>
      <c r="BD50" s="431">
        <f t="shared" si="45"/>
        <v>0</v>
      </c>
      <c r="BE50" s="431">
        <v>0</v>
      </c>
      <c r="BF50" s="431">
        <f t="shared" si="46"/>
        <v>0</v>
      </c>
      <c r="BH50" s="429">
        <f t="shared" si="47"/>
        <v>0</v>
      </c>
      <c r="BI50" s="429">
        <f t="shared" si="48"/>
        <v>0</v>
      </c>
      <c r="BJ50" s="429">
        <f t="shared" si="49"/>
        <v>0</v>
      </c>
      <c r="BK50" s="429" t="s">
        <v>813</v>
      </c>
      <c r="BL50" s="431">
        <v>733</v>
      </c>
    </row>
    <row r="51" spans="1:64" ht="12">
      <c r="A51" s="425" t="s">
        <v>520</v>
      </c>
      <c r="B51" s="426"/>
      <c r="C51" s="426" t="s">
        <v>4777</v>
      </c>
      <c r="D51" s="427" t="s">
        <v>4778</v>
      </c>
      <c r="E51" s="428"/>
      <c r="F51" s="426" t="s">
        <v>476</v>
      </c>
      <c r="G51" s="429">
        <v>66</v>
      </c>
      <c r="H51" s="429"/>
      <c r="I51" s="429">
        <f t="shared" si="26"/>
        <v>0</v>
      </c>
      <c r="J51" s="429">
        <f t="shared" si="27"/>
        <v>0</v>
      </c>
      <c r="K51" s="429">
        <f t="shared" si="28"/>
        <v>0</v>
      </c>
      <c r="L51" s="429">
        <v>0</v>
      </c>
      <c r="M51" s="429">
        <f t="shared" si="29"/>
        <v>0</v>
      </c>
      <c r="N51" s="430" t="s">
        <v>4702</v>
      </c>
      <c r="O51" s="383"/>
      <c r="Z51" s="431">
        <f t="shared" si="30"/>
        <v>0</v>
      </c>
      <c r="AB51" s="431">
        <f t="shared" si="31"/>
        <v>0</v>
      </c>
      <c r="AC51" s="431">
        <f t="shared" si="32"/>
        <v>0</v>
      </c>
      <c r="AD51" s="431">
        <f t="shared" si="33"/>
        <v>0</v>
      </c>
      <c r="AE51" s="431">
        <f t="shared" si="34"/>
        <v>0</v>
      </c>
      <c r="AF51" s="431">
        <f t="shared" si="35"/>
        <v>0</v>
      </c>
      <c r="AG51" s="431">
        <f t="shared" si="36"/>
        <v>0</v>
      </c>
      <c r="AH51" s="431">
        <f t="shared" si="37"/>
        <v>0</v>
      </c>
      <c r="AI51" s="405"/>
      <c r="AJ51" s="429">
        <f t="shared" si="38"/>
        <v>0</v>
      </c>
      <c r="AK51" s="429">
        <f t="shared" si="39"/>
        <v>0</v>
      </c>
      <c r="AL51" s="429">
        <f t="shared" si="40"/>
        <v>0</v>
      </c>
      <c r="AN51" s="431">
        <v>21</v>
      </c>
      <c r="AO51" s="431">
        <f>H51*0.0215596330275229</f>
        <v>0</v>
      </c>
      <c r="AP51" s="431">
        <f>H51*(1-0.0215596330275229)</f>
        <v>0</v>
      </c>
      <c r="AQ51" s="432" t="s">
        <v>241</v>
      </c>
      <c r="AV51" s="431">
        <f t="shared" si="41"/>
        <v>0</v>
      </c>
      <c r="AW51" s="431">
        <f t="shared" si="42"/>
        <v>0</v>
      </c>
      <c r="AX51" s="431">
        <f t="shared" si="43"/>
        <v>0</v>
      </c>
      <c r="AY51" s="433" t="s">
        <v>4762</v>
      </c>
      <c r="AZ51" s="433" t="s">
        <v>4733</v>
      </c>
      <c r="BA51" s="405" t="s">
        <v>4705</v>
      </c>
      <c r="BC51" s="431">
        <f t="shared" si="44"/>
        <v>0</v>
      </c>
      <c r="BD51" s="431">
        <f t="shared" si="45"/>
        <v>0</v>
      </c>
      <c r="BE51" s="431">
        <v>0</v>
      </c>
      <c r="BF51" s="431">
        <f t="shared" si="46"/>
        <v>0</v>
      </c>
      <c r="BH51" s="429">
        <f t="shared" si="47"/>
        <v>0</v>
      </c>
      <c r="BI51" s="429">
        <f t="shared" si="48"/>
        <v>0</v>
      </c>
      <c r="BJ51" s="429">
        <f t="shared" si="49"/>
        <v>0</v>
      </c>
      <c r="BK51" s="429" t="s">
        <v>813</v>
      </c>
      <c r="BL51" s="431">
        <v>733</v>
      </c>
    </row>
    <row r="52" spans="1:64" ht="12">
      <c r="A52" s="425" t="s">
        <v>527</v>
      </c>
      <c r="B52" s="426"/>
      <c r="C52" s="426" t="s">
        <v>4779</v>
      </c>
      <c r="D52" s="427" t="s">
        <v>4780</v>
      </c>
      <c r="E52" s="428"/>
      <c r="F52" s="426" t="s">
        <v>236</v>
      </c>
      <c r="G52" s="429">
        <v>38</v>
      </c>
      <c r="H52" s="429"/>
      <c r="I52" s="429">
        <f t="shared" si="26"/>
        <v>0</v>
      </c>
      <c r="J52" s="429">
        <f t="shared" si="27"/>
        <v>0</v>
      </c>
      <c r="K52" s="429">
        <f t="shared" si="28"/>
        <v>0</v>
      </c>
      <c r="L52" s="429">
        <v>0.00125</v>
      </c>
      <c r="M52" s="429">
        <f t="shared" si="29"/>
        <v>0.0475</v>
      </c>
      <c r="N52" s="430" t="s">
        <v>4702</v>
      </c>
      <c r="O52" s="383"/>
      <c r="Z52" s="431">
        <f t="shared" si="30"/>
        <v>0</v>
      </c>
      <c r="AB52" s="431">
        <f t="shared" si="31"/>
        <v>0</v>
      </c>
      <c r="AC52" s="431">
        <f t="shared" si="32"/>
        <v>0</v>
      </c>
      <c r="AD52" s="431">
        <f t="shared" si="33"/>
        <v>0</v>
      </c>
      <c r="AE52" s="431">
        <f t="shared" si="34"/>
        <v>0</v>
      </c>
      <c r="AF52" s="431">
        <f t="shared" si="35"/>
        <v>0</v>
      </c>
      <c r="AG52" s="431">
        <f t="shared" si="36"/>
        <v>0</v>
      </c>
      <c r="AH52" s="431">
        <f t="shared" si="37"/>
        <v>0</v>
      </c>
      <c r="AI52" s="405"/>
      <c r="AJ52" s="429">
        <f t="shared" si="38"/>
        <v>0</v>
      </c>
      <c r="AK52" s="429">
        <f t="shared" si="39"/>
        <v>0</v>
      </c>
      <c r="AL52" s="429">
        <f t="shared" si="40"/>
        <v>0</v>
      </c>
      <c r="AN52" s="431">
        <v>21</v>
      </c>
      <c r="AO52" s="431">
        <f>H52*0.405478927203065</f>
        <v>0</v>
      </c>
      <c r="AP52" s="431">
        <f>H52*(1-0.405478927203065)</f>
        <v>0</v>
      </c>
      <c r="AQ52" s="432" t="s">
        <v>241</v>
      </c>
      <c r="AV52" s="431">
        <f t="shared" si="41"/>
        <v>0</v>
      </c>
      <c r="AW52" s="431">
        <f t="shared" si="42"/>
        <v>0</v>
      </c>
      <c r="AX52" s="431">
        <f t="shared" si="43"/>
        <v>0</v>
      </c>
      <c r="AY52" s="433" t="s">
        <v>4762</v>
      </c>
      <c r="AZ52" s="433" t="s">
        <v>4733</v>
      </c>
      <c r="BA52" s="405" t="s">
        <v>4705</v>
      </c>
      <c r="BC52" s="431">
        <f t="shared" si="44"/>
        <v>0</v>
      </c>
      <c r="BD52" s="431">
        <f t="shared" si="45"/>
        <v>0</v>
      </c>
      <c r="BE52" s="431">
        <v>0</v>
      </c>
      <c r="BF52" s="431">
        <f t="shared" si="46"/>
        <v>0.0475</v>
      </c>
      <c r="BH52" s="429">
        <f t="shared" si="47"/>
        <v>0</v>
      </c>
      <c r="BI52" s="429">
        <f t="shared" si="48"/>
        <v>0</v>
      </c>
      <c r="BJ52" s="429">
        <f t="shared" si="49"/>
        <v>0</v>
      </c>
      <c r="BK52" s="429" t="s">
        <v>813</v>
      </c>
      <c r="BL52" s="431">
        <v>733</v>
      </c>
    </row>
    <row r="53" spans="1:64" ht="12">
      <c r="A53" s="425" t="s">
        <v>537</v>
      </c>
      <c r="B53" s="426"/>
      <c r="C53" s="426" t="s">
        <v>4781</v>
      </c>
      <c r="D53" s="427" t="s">
        <v>4782</v>
      </c>
      <c r="E53" s="428"/>
      <c r="F53" s="426" t="s">
        <v>236</v>
      </c>
      <c r="G53" s="429">
        <v>4</v>
      </c>
      <c r="H53" s="429"/>
      <c r="I53" s="429">
        <f t="shared" si="26"/>
        <v>0</v>
      </c>
      <c r="J53" s="429">
        <f t="shared" si="27"/>
        <v>0</v>
      </c>
      <c r="K53" s="429">
        <f t="shared" si="28"/>
        <v>0</v>
      </c>
      <c r="L53" s="429">
        <v>0.00188</v>
      </c>
      <c r="M53" s="429">
        <f t="shared" si="29"/>
        <v>0.00752</v>
      </c>
      <c r="N53" s="430" t="s">
        <v>4702</v>
      </c>
      <c r="O53" s="383"/>
      <c r="Z53" s="431">
        <f t="shared" si="30"/>
        <v>0</v>
      </c>
      <c r="AB53" s="431">
        <f t="shared" si="31"/>
        <v>0</v>
      </c>
      <c r="AC53" s="431">
        <f t="shared" si="32"/>
        <v>0</v>
      </c>
      <c r="AD53" s="431">
        <f t="shared" si="33"/>
        <v>0</v>
      </c>
      <c r="AE53" s="431">
        <f t="shared" si="34"/>
        <v>0</v>
      </c>
      <c r="AF53" s="431">
        <f t="shared" si="35"/>
        <v>0</v>
      </c>
      <c r="AG53" s="431">
        <f t="shared" si="36"/>
        <v>0</v>
      </c>
      <c r="AH53" s="431">
        <f t="shared" si="37"/>
        <v>0</v>
      </c>
      <c r="AI53" s="405"/>
      <c r="AJ53" s="429">
        <f t="shared" si="38"/>
        <v>0</v>
      </c>
      <c r="AK53" s="429">
        <f t="shared" si="39"/>
        <v>0</v>
      </c>
      <c r="AL53" s="429">
        <f t="shared" si="40"/>
        <v>0</v>
      </c>
      <c r="AN53" s="431">
        <v>21</v>
      </c>
      <c r="AO53" s="431">
        <f>H53*0.468167701863354</f>
        <v>0</v>
      </c>
      <c r="AP53" s="431">
        <f>H53*(1-0.468167701863354)</f>
        <v>0</v>
      </c>
      <c r="AQ53" s="432" t="s">
        <v>241</v>
      </c>
      <c r="AV53" s="431">
        <f t="shared" si="41"/>
        <v>0</v>
      </c>
      <c r="AW53" s="431">
        <f t="shared" si="42"/>
        <v>0</v>
      </c>
      <c r="AX53" s="431">
        <f t="shared" si="43"/>
        <v>0</v>
      </c>
      <c r="AY53" s="433" t="s">
        <v>4762</v>
      </c>
      <c r="AZ53" s="433" t="s">
        <v>4733</v>
      </c>
      <c r="BA53" s="405" t="s">
        <v>4705</v>
      </c>
      <c r="BC53" s="431">
        <f t="shared" si="44"/>
        <v>0</v>
      </c>
      <c r="BD53" s="431">
        <f t="shared" si="45"/>
        <v>0</v>
      </c>
      <c r="BE53" s="431">
        <v>0</v>
      </c>
      <c r="BF53" s="431">
        <f t="shared" si="46"/>
        <v>0.00752</v>
      </c>
      <c r="BH53" s="429">
        <f t="shared" si="47"/>
        <v>0</v>
      </c>
      <c r="BI53" s="429">
        <f t="shared" si="48"/>
        <v>0</v>
      </c>
      <c r="BJ53" s="429">
        <f t="shared" si="49"/>
        <v>0</v>
      </c>
      <c r="BK53" s="429" t="s">
        <v>813</v>
      </c>
      <c r="BL53" s="431">
        <v>733</v>
      </c>
    </row>
    <row r="54" spans="1:64" ht="12">
      <c r="A54" s="425" t="s">
        <v>756</v>
      </c>
      <c r="B54" s="426"/>
      <c r="C54" s="426" t="s">
        <v>4783</v>
      </c>
      <c r="D54" s="427" t="s">
        <v>4784</v>
      </c>
      <c r="E54" s="428"/>
      <c r="F54" s="426" t="s">
        <v>236</v>
      </c>
      <c r="G54" s="429">
        <v>2</v>
      </c>
      <c r="H54" s="429"/>
      <c r="I54" s="429">
        <f t="shared" si="26"/>
        <v>0</v>
      </c>
      <c r="J54" s="429">
        <f t="shared" si="27"/>
        <v>0</v>
      </c>
      <c r="K54" s="429">
        <f t="shared" si="28"/>
        <v>0</v>
      </c>
      <c r="L54" s="429">
        <v>0.00191</v>
      </c>
      <c r="M54" s="429">
        <f t="shared" si="29"/>
        <v>0.00382</v>
      </c>
      <c r="N54" s="430" t="s">
        <v>4702</v>
      </c>
      <c r="O54" s="383"/>
      <c r="Z54" s="431">
        <f t="shared" si="30"/>
        <v>0</v>
      </c>
      <c r="AB54" s="431">
        <f t="shared" si="31"/>
        <v>0</v>
      </c>
      <c r="AC54" s="431">
        <f t="shared" si="32"/>
        <v>0</v>
      </c>
      <c r="AD54" s="431">
        <f t="shared" si="33"/>
        <v>0</v>
      </c>
      <c r="AE54" s="431">
        <f t="shared" si="34"/>
        <v>0</v>
      </c>
      <c r="AF54" s="431">
        <f t="shared" si="35"/>
        <v>0</v>
      </c>
      <c r="AG54" s="431">
        <f t="shared" si="36"/>
        <v>0</v>
      </c>
      <c r="AH54" s="431">
        <f t="shared" si="37"/>
        <v>0</v>
      </c>
      <c r="AI54" s="405"/>
      <c r="AJ54" s="429">
        <f t="shared" si="38"/>
        <v>0</v>
      </c>
      <c r="AK54" s="429">
        <f t="shared" si="39"/>
        <v>0</v>
      </c>
      <c r="AL54" s="429">
        <f t="shared" si="40"/>
        <v>0</v>
      </c>
      <c r="AN54" s="431">
        <v>21</v>
      </c>
      <c r="AO54" s="431">
        <f>H54*0.402326951399116</f>
        <v>0</v>
      </c>
      <c r="AP54" s="431">
        <f>H54*(1-0.402326951399116)</f>
        <v>0</v>
      </c>
      <c r="AQ54" s="432" t="s">
        <v>241</v>
      </c>
      <c r="AV54" s="431">
        <f t="shared" si="41"/>
        <v>0</v>
      </c>
      <c r="AW54" s="431">
        <f t="shared" si="42"/>
        <v>0</v>
      </c>
      <c r="AX54" s="431">
        <f t="shared" si="43"/>
        <v>0</v>
      </c>
      <c r="AY54" s="433" t="s">
        <v>4762</v>
      </c>
      <c r="AZ54" s="433" t="s">
        <v>4733</v>
      </c>
      <c r="BA54" s="405" t="s">
        <v>4705</v>
      </c>
      <c r="BC54" s="431">
        <f t="shared" si="44"/>
        <v>0</v>
      </c>
      <c r="BD54" s="431">
        <f t="shared" si="45"/>
        <v>0</v>
      </c>
      <c r="BE54" s="431">
        <v>0</v>
      </c>
      <c r="BF54" s="431">
        <f t="shared" si="46"/>
        <v>0.00382</v>
      </c>
      <c r="BH54" s="429">
        <f t="shared" si="47"/>
        <v>0</v>
      </c>
      <c r="BI54" s="429">
        <f t="shared" si="48"/>
        <v>0</v>
      </c>
      <c r="BJ54" s="429">
        <f t="shared" si="49"/>
        <v>0</v>
      </c>
      <c r="BK54" s="429" t="s">
        <v>813</v>
      </c>
      <c r="BL54" s="431">
        <v>733</v>
      </c>
    </row>
    <row r="55" spans="1:64" ht="12">
      <c r="A55" s="425" t="s">
        <v>763</v>
      </c>
      <c r="B55" s="426"/>
      <c r="C55" s="426" t="s">
        <v>4785</v>
      </c>
      <c r="D55" s="427" t="s">
        <v>4786</v>
      </c>
      <c r="E55" s="428"/>
      <c r="F55" s="426" t="s">
        <v>183</v>
      </c>
      <c r="G55" s="429">
        <v>0.6165</v>
      </c>
      <c r="H55" s="429"/>
      <c r="I55" s="429">
        <f t="shared" si="26"/>
        <v>0</v>
      </c>
      <c r="J55" s="429">
        <f t="shared" si="27"/>
        <v>0</v>
      </c>
      <c r="K55" s="429">
        <f t="shared" si="28"/>
        <v>0</v>
      </c>
      <c r="L55" s="429">
        <v>0</v>
      </c>
      <c r="M55" s="429">
        <f t="shared" si="29"/>
        <v>0</v>
      </c>
      <c r="N55" s="430" t="s">
        <v>4702</v>
      </c>
      <c r="O55" s="383"/>
      <c r="Z55" s="431">
        <f t="shared" si="30"/>
        <v>0</v>
      </c>
      <c r="AB55" s="431">
        <f t="shared" si="31"/>
        <v>0</v>
      </c>
      <c r="AC55" s="431">
        <f t="shared" si="32"/>
        <v>0</v>
      </c>
      <c r="AD55" s="431">
        <f t="shared" si="33"/>
        <v>0</v>
      </c>
      <c r="AE55" s="431">
        <f t="shared" si="34"/>
        <v>0</v>
      </c>
      <c r="AF55" s="431">
        <f t="shared" si="35"/>
        <v>0</v>
      </c>
      <c r="AG55" s="431">
        <f t="shared" si="36"/>
        <v>0</v>
      </c>
      <c r="AH55" s="431">
        <f t="shared" si="37"/>
        <v>0</v>
      </c>
      <c r="AI55" s="405"/>
      <c r="AJ55" s="429">
        <f t="shared" si="38"/>
        <v>0</v>
      </c>
      <c r="AK55" s="429">
        <f t="shared" si="39"/>
        <v>0</v>
      </c>
      <c r="AL55" s="429">
        <f t="shared" si="40"/>
        <v>0</v>
      </c>
      <c r="AN55" s="431">
        <v>21</v>
      </c>
      <c r="AO55" s="431">
        <f>H55*0</f>
        <v>0</v>
      </c>
      <c r="AP55" s="431">
        <f>H55*(1-0)</f>
        <v>0</v>
      </c>
      <c r="AQ55" s="432" t="s">
        <v>200</v>
      </c>
      <c r="AV55" s="431">
        <f t="shared" si="41"/>
        <v>0</v>
      </c>
      <c r="AW55" s="431">
        <f t="shared" si="42"/>
        <v>0</v>
      </c>
      <c r="AX55" s="431">
        <f t="shared" si="43"/>
        <v>0</v>
      </c>
      <c r="AY55" s="433" t="s">
        <v>4762</v>
      </c>
      <c r="AZ55" s="433" t="s">
        <v>4733</v>
      </c>
      <c r="BA55" s="405" t="s">
        <v>4705</v>
      </c>
      <c r="BC55" s="431">
        <f t="shared" si="44"/>
        <v>0</v>
      </c>
      <c r="BD55" s="431">
        <f t="shared" si="45"/>
        <v>0</v>
      </c>
      <c r="BE55" s="431">
        <v>0</v>
      </c>
      <c r="BF55" s="431">
        <f t="shared" si="46"/>
        <v>0</v>
      </c>
      <c r="BH55" s="429">
        <f t="shared" si="47"/>
        <v>0</v>
      </c>
      <c r="BI55" s="429">
        <f t="shared" si="48"/>
        <v>0</v>
      </c>
      <c r="BJ55" s="429">
        <f t="shared" si="49"/>
        <v>0</v>
      </c>
      <c r="BK55" s="429" t="s">
        <v>813</v>
      </c>
      <c r="BL55" s="431">
        <v>733</v>
      </c>
    </row>
    <row r="56" spans="1:47" ht="12">
      <c r="A56" s="438"/>
      <c r="B56" s="439"/>
      <c r="C56" s="439" t="s">
        <v>4787</v>
      </c>
      <c r="D56" s="440" t="s">
        <v>4788</v>
      </c>
      <c r="E56" s="441"/>
      <c r="F56" s="442" t="s">
        <v>4598</v>
      </c>
      <c r="G56" s="442" t="s">
        <v>4598</v>
      </c>
      <c r="H56" s="442" t="s">
        <v>4598</v>
      </c>
      <c r="I56" s="424">
        <f>SUM(I57:I64)</f>
        <v>0</v>
      </c>
      <c r="J56" s="424">
        <f>SUM(J57:J64)</f>
        <v>0</v>
      </c>
      <c r="K56" s="424">
        <f>SUM(K57:K64)</f>
        <v>0</v>
      </c>
      <c r="L56" s="405"/>
      <c r="M56" s="424">
        <f>SUM(M57:M64)</f>
        <v>0.04981</v>
      </c>
      <c r="N56" s="443"/>
      <c r="O56" s="383"/>
      <c r="AI56" s="405"/>
      <c r="AS56" s="424">
        <f>SUM(AJ57:AJ64)</f>
        <v>0</v>
      </c>
      <c r="AT56" s="424">
        <f>SUM(AK57:AK64)</f>
        <v>0</v>
      </c>
      <c r="AU56" s="424">
        <f>SUM(AL57:AL64)</f>
        <v>0</v>
      </c>
    </row>
    <row r="57" spans="1:64" ht="12">
      <c r="A57" s="425" t="s">
        <v>771</v>
      </c>
      <c r="B57" s="426"/>
      <c r="C57" s="426" t="s">
        <v>4789</v>
      </c>
      <c r="D57" s="427" t="s">
        <v>4790</v>
      </c>
      <c r="E57" s="428"/>
      <c r="F57" s="426" t="s">
        <v>236</v>
      </c>
      <c r="G57" s="429">
        <v>2</v>
      </c>
      <c r="H57" s="429"/>
      <c r="I57" s="429">
        <f>G57*AO57</f>
        <v>0</v>
      </c>
      <c r="J57" s="429">
        <f>G57*AP57</f>
        <v>0</v>
      </c>
      <c r="K57" s="429">
        <f>G57*H57</f>
        <v>0</v>
      </c>
      <c r="L57" s="429">
        <v>0.00068</v>
      </c>
      <c r="M57" s="429">
        <f>G57*L57</f>
        <v>0.00136</v>
      </c>
      <c r="N57" s="430" t="s">
        <v>4702</v>
      </c>
      <c r="O57" s="383"/>
      <c r="Z57" s="431">
        <f>IF(AQ57="5",BJ57,0)</f>
        <v>0</v>
      </c>
      <c r="AB57" s="431">
        <f>IF(AQ57="1",BH57,0)</f>
        <v>0</v>
      </c>
      <c r="AC57" s="431">
        <f>IF(AQ57="1",BI57,0)</f>
        <v>0</v>
      </c>
      <c r="AD57" s="431">
        <f>IF(AQ57="7",BH57,0)</f>
        <v>0</v>
      </c>
      <c r="AE57" s="431">
        <f>IF(AQ57="7",BI57,0)</f>
        <v>0</v>
      </c>
      <c r="AF57" s="431">
        <f>IF(AQ57="2",BH57,0)</f>
        <v>0</v>
      </c>
      <c r="AG57" s="431">
        <f>IF(AQ57="2",BI57,0)</f>
        <v>0</v>
      </c>
      <c r="AH57" s="431">
        <f>IF(AQ57="0",BJ57,0)</f>
        <v>0</v>
      </c>
      <c r="AI57" s="405"/>
      <c r="AJ57" s="429">
        <f>IF(AN57=0,K57,0)</f>
        <v>0</v>
      </c>
      <c r="AK57" s="429">
        <f>IF(AN57=15,K57,0)</f>
        <v>0</v>
      </c>
      <c r="AL57" s="429">
        <f>IF(AN57=21,K57,0)</f>
        <v>0</v>
      </c>
      <c r="AN57" s="431">
        <v>21</v>
      </c>
      <c r="AO57" s="431">
        <f>H57*0.821938775510204</f>
        <v>0</v>
      </c>
      <c r="AP57" s="431">
        <f>H57*(1-0.821938775510204)</f>
        <v>0</v>
      </c>
      <c r="AQ57" s="432" t="s">
        <v>241</v>
      </c>
      <c r="AV57" s="431">
        <f>AW57+AX57</f>
        <v>0</v>
      </c>
      <c r="AW57" s="431">
        <f>G57*AO57</f>
        <v>0</v>
      </c>
      <c r="AX57" s="431">
        <f>G57*AP57</f>
        <v>0</v>
      </c>
      <c r="AY57" s="433" t="s">
        <v>4791</v>
      </c>
      <c r="AZ57" s="433" t="s">
        <v>4733</v>
      </c>
      <c r="BA57" s="405" t="s">
        <v>4705</v>
      </c>
      <c r="BC57" s="431">
        <f>AW57+AX57</f>
        <v>0</v>
      </c>
      <c r="BD57" s="431">
        <f>H57/(100-BE57)*100</f>
        <v>0</v>
      </c>
      <c r="BE57" s="431">
        <v>0</v>
      </c>
      <c r="BF57" s="431">
        <f>M57</f>
        <v>0.00136</v>
      </c>
      <c r="BH57" s="429">
        <f>G57*AO57</f>
        <v>0</v>
      </c>
      <c r="BI57" s="429">
        <f>G57*AP57</f>
        <v>0</v>
      </c>
      <c r="BJ57" s="429">
        <f>G57*H57</f>
        <v>0</v>
      </c>
      <c r="BK57" s="429" t="s">
        <v>813</v>
      </c>
      <c r="BL57" s="431">
        <v>734</v>
      </c>
    </row>
    <row r="58" spans="1:64" ht="12">
      <c r="A58" s="425" t="s">
        <v>780</v>
      </c>
      <c r="B58" s="426"/>
      <c r="C58" s="426" t="s">
        <v>4792</v>
      </c>
      <c r="D58" s="427" t="s">
        <v>4793</v>
      </c>
      <c r="E58" s="428"/>
      <c r="F58" s="426" t="s">
        <v>236</v>
      </c>
      <c r="G58" s="429">
        <v>2</v>
      </c>
      <c r="H58" s="429"/>
      <c r="I58" s="429">
        <f>G58*AO58</f>
        <v>0</v>
      </c>
      <c r="J58" s="429">
        <f>G58*AP58</f>
        <v>0</v>
      </c>
      <c r="K58" s="429">
        <f>G58*H58</f>
        <v>0</v>
      </c>
      <c r="L58" s="429">
        <v>0.00104</v>
      </c>
      <c r="M58" s="429">
        <f>G58*L58</f>
        <v>0.00208</v>
      </c>
      <c r="N58" s="430" t="s">
        <v>4702</v>
      </c>
      <c r="O58" s="383"/>
      <c r="Z58" s="431">
        <f>IF(AQ58="5",BJ58,0)</f>
        <v>0</v>
      </c>
      <c r="AB58" s="431">
        <f>IF(AQ58="1",BH58,0)</f>
        <v>0</v>
      </c>
      <c r="AC58" s="431">
        <f>IF(AQ58="1",BI58,0)</f>
        <v>0</v>
      </c>
      <c r="AD58" s="431">
        <f>IF(AQ58="7",BH58,0)</f>
        <v>0</v>
      </c>
      <c r="AE58" s="431">
        <f>IF(AQ58="7",BI58,0)</f>
        <v>0</v>
      </c>
      <c r="AF58" s="431">
        <f>IF(AQ58="2",BH58,0)</f>
        <v>0</v>
      </c>
      <c r="AG58" s="431">
        <f>IF(AQ58="2",BI58,0)</f>
        <v>0</v>
      </c>
      <c r="AH58" s="431">
        <f>IF(AQ58="0",BJ58,0)</f>
        <v>0</v>
      </c>
      <c r="AI58" s="405"/>
      <c r="AJ58" s="429">
        <f>IF(AN58=0,K58,0)</f>
        <v>0</v>
      </c>
      <c r="AK58" s="429">
        <f>IF(AN58=15,K58,0)</f>
        <v>0</v>
      </c>
      <c r="AL58" s="429">
        <f>IF(AN58=21,K58,0)</f>
        <v>0</v>
      </c>
      <c r="AN58" s="431">
        <v>21</v>
      </c>
      <c r="AO58" s="431">
        <f>H58*0.845366338146535</f>
        <v>0</v>
      </c>
      <c r="AP58" s="431">
        <f>H58*(1-0.845366338146535)</f>
        <v>0</v>
      </c>
      <c r="AQ58" s="432" t="s">
        <v>241</v>
      </c>
      <c r="AV58" s="431">
        <f>AW58+AX58</f>
        <v>0</v>
      </c>
      <c r="AW58" s="431">
        <f>G58*AO58</f>
        <v>0</v>
      </c>
      <c r="AX58" s="431">
        <f>G58*AP58</f>
        <v>0</v>
      </c>
      <c r="AY58" s="433" t="s">
        <v>4791</v>
      </c>
      <c r="AZ58" s="433" t="s">
        <v>4733</v>
      </c>
      <c r="BA58" s="405" t="s">
        <v>4705</v>
      </c>
      <c r="BC58" s="431">
        <f>AW58+AX58</f>
        <v>0</v>
      </c>
      <c r="BD58" s="431">
        <f>H58/(100-BE58)*100</f>
        <v>0</v>
      </c>
      <c r="BE58" s="431">
        <v>0</v>
      </c>
      <c r="BF58" s="431">
        <f>M58</f>
        <v>0.00208</v>
      </c>
      <c r="BH58" s="429">
        <f>G58*AO58</f>
        <v>0</v>
      </c>
      <c r="BI58" s="429">
        <f>G58*AP58</f>
        <v>0</v>
      </c>
      <c r="BJ58" s="429">
        <f>G58*H58</f>
        <v>0</v>
      </c>
      <c r="BK58" s="429" t="s">
        <v>813</v>
      </c>
      <c r="BL58" s="431">
        <v>734</v>
      </c>
    </row>
    <row r="59" spans="1:64" ht="12">
      <c r="A59" s="425" t="s">
        <v>786</v>
      </c>
      <c r="B59" s="426"/>
      <c r="C59" s="426" t="s">
        <v>4794</v>
      </c>
      <c r="D59" s="427" t="s">
        <v>4795</v>
      </c>
      <c r="E59" s="428"/>
      <c r="F59" s="426" t="s">
        <v>236</v>
      </c>
      <c r="G59" s="429">
        <v>9</v>
      </c>
      <c r="H59" s="429"/>
      <c r="I59" s="429">
        <f>G59*AO59</f>
        <v>0</v>
      </c>
      <c r="J59" s="429">
        <f>G59*AP59</f>
        <v>0</v>
      </c>
      <c r="K59" s="429">
        <f>G59*H59</f>
        <v>0</v>
      </c>
      <c r="L59" s="429">
        <v>0.00019</v>
      </c>
      <c r="M59" s="429">
        <f>G59*L59</f>
        <v>0.0017100000000000001</v>
      </c>
      <c r="N59" s="430" t="s">
        <v>4702</v>
      </c>
      <c r="O59" s="383"/>
      <c r="Z59" s="431">
        <f>IF(AQ59="5",BJ59,0)</f>
        <v>0</v>
      </c>
      <c r="AB59" s="431">
        <f>IF(AQ59="1",BH59,0)</f>
        <v>0</v>
      </c>
      <c r="AC59" s="431">
        <f>IF(AQ59="1",BI59,0)</f>
        <v>0</v>
      </c>
      <c r="AD59" s="431">
        <f>IF(AQ59="7",BH59,0)</f>
        <v>0</v>
      </c>
      <c r="AE59" s="431">
        <f>IF(AQ59="7",BI59,0)</f>
        <v>0</v>
      </c>
      <c r="AF59" s="431">
        <f>IF(AQ59="2",BH59,0)</f>
        <v>0</v>
      </c>
      <c r="AG59" s="431">
        <f>IF(AQ59="2",BI59,0)</f>
        <v>0</v>
      </c>
      <c r="AH59" s="431">
        <f>IF(AQ59="0",BJ59,0)</f>
        <v>0</v>
      </c>
      <c r="AI59" s="405"/>
      <c r="AJ59" s="429">
        <f>IF(AN59=0,K59,0)</f>
        <v>0</v>
      </c>
      <c r="AK59" s="429">
        <f>IF(AN59=15,K59,0)</f>
        <v>0</v>
      </c>
      <c r="AL59" s="429">
        <f>IF(AN59=21,K59,0)</f>
        <v>0</v>
      </c>
      <c r="AN59" s="431">
        <v>21</v>
      </c>
      <c r="AO59" s="431">
        <f>H59*0.842197802197802</f>
        <v>0</v>
      </c>
      <c r="AP59" s="431">
        <f>H59*(1-0.842197802197802)</f>
        <v>0</v>
      </c>
      <c r="AQ59" s="432" t="s">
        <v>241</v>
      </c>
      <c r="AV59" s="431">
        <f>AW59+AX59</f>
        <v>0</v>
      </c>
      <c r="AW59" s="431">
        <f>G59*AO59</f>
        <v>0</v>
      </c>
      <c r="AX59" s="431">
        <f>G59*AP59</f>
        <v>0</v>
      </c>
      <c r="AY59" s="433" t="s">
        <v>4791</v>
      </c>
      <c r="AZ59" s="433" t="s">
        <v>4733</v>
      </c>
      <c r="BA59" s="405" t="s">
        <v>4705</v>
      </c>
      <c r="BC59" s="431">
        <f>AW59+AX59</f>
        <v>0</v>
      </c>
      <c r="BD59" s="431">
        <f>H59/(100-BE59)*100</f>
        <v>0</v>
      </c>
      <c r="BE59" s="431">
        <v>0</v>
      </c>
      <c r="BF59" s="431">
        <f>M59</f>
        <v>0.0017100000000000001</v>
      </c>
      <c r="BH59" s="429">
        <f>G59*AO59</f>
        <v>0</v>
      </c>
      <c r="BI59" s="429">
        <f>G59*AP59</f>
        <v>0</v>
      </c>
      <c r="BJ59" s="429">
        <f>G59*H59</f>
        <v>0</v>
      </c>
      <c r="BK59" s="429" t="s">
        <v>813</v>
      </c>
      <c r="BL59" s="431">
        <v>734</v>
      </c>
    </row>
    <row r="60" spans="1:64" ht="12">
      <c r="A60" s="425" t="s">
        <v>793</v>
      </c>
      <c r="B60" s="426"/>
      <c r="C60" s="426" t="s">
        <v>4796</v>
      </c>
      <c r="D60" s="427" t="s">
        <v>4797</v>
      </c>
      <c r="E60" s="428"/>
      <c r="F60" s="426" t="s">
        <v>236</v>
      </c>
      <c r="G60" s="429">
        <v>29</v>
      </c>
      <c r="H60" s="429"/>
      <c r="I60" s="429">
        <f>G60*AO60</f>
        <v>0</v>
      </c>
      <c r="J60" s="429">
        <f>G60*AP60</f>
        <v>0</v>
      </c>
      <c r="K60" s="429">
        <f>G60*H60</f>
        <v>0</v>
      </c>
      <c r="L60" s="429">
        <v>0.0008</v>
      </c>
      <c r="M60" s="429">
        <f>G60*L60</f>
        <v>0.023200000000000002</v>
      </c>
      <c r="N60" s="430" t="s">
        <v>4702</v>
      </c>
      <c r="O60" s="383"/>
      <c r="Z60" s="431">
        <f>IF(AQ60="5",BJ60,0)</f>
        <v>0</v>
      </c>
      <c r="AB60" s="431">
        <f>IF(AQ60="1",BH60,0)</f>
        <v>0</v>
      </c>
      <c r="AC60" s="431">
        <f>IF(AQ60="1",BI60,0)</f>
        <v>0</v>
      </c>
      <c r="AD60" s="431">
        <f>IF(AQ60="7",BH60,0)</f>
        <v>0</v>
      </c>
      <c r="AE60" s="431">
        <f>IF(AQ60="7",BI60,0)</f>
        <v>0</v>
      </c>
      <c r="AF60" s="431">
        <f>IF(AQ60="2",BH60,0)</f>
        <v>0</v>
      </c>
      <c r="AG60" s="431">
        <f>IF(AQ60="2",BI60,0)</f>
        <v>0</v>
      </c>
      <c r="AH60" s="431">
        <f>IF(AQ60="0",BJ60,0)</f>
        <v>0</v>
      </c>
      <c r="AI60" s="405"/>
      <c r="AJ60" s="429">
        <f>IF(AN60=0,K60,0)</f>
        <v>0</v>
      </c>
      <c r="AK60" s="429">
        <f>IF(AN60=15,K60,0)</f>
        <v>0</v>
      </c>
      <c r="AL60" s="429">
        <f>IF(AN60=21,K60,0)</f>
        <v>0</v>
      </c>
      <c r="AN60" s="431">
        <v>21</v>
      </c>
      <c r="AO60" s="431">
        <f>H60*0.803419913419913</f>
        <v>0</v>
      </c>
      <c r="AP60" s="431">
        <f>H60*(1-0.803419913419913)</f>
        <v>0</v>
      </c>
      <c r="AQ60" s="432" t="s">
        <v>241</v>
      </c>
      <c r="AV60" s="431">
        <f>AW60+AX60</f>
        <v>0</v>
      </c>
      <c r="AW60" s="431">
        <f>G60*AO60</f>
        <v>0</v>
      </c>
      <c r="AX60" s="431">
        <f>G60*AP60</f>
        <v>0</v>
      </c>
      <c r="AY60" s="433" t="s">
        <v>4791</v>
      </c>
      <c r="AZ60" s="433" t="s">
        <v>4733</v>
      </c>
      <c r="BA60" s="405" t="s">
        <v>4705</v>
      </c>
      <c r="BC60" s="431">
        <f>AW60+AX60</f>
        <v>0</v>
      </c>
      <c r="BD60" s="431">
        <f>H60/(100-BE60)*100</f>
        <v>0</v>
      </c>
      <c r="BE60" s="431">
        <v>0</v>
      </c>
      <c r="BF60" s="431">
        <f>M60</f>
        <v>0.023200000000000002</v>
      </c>
      <c r="BH60" s="429">
        <f>G60*AO60</f>
        <v>0</v>
      </c>
      <c r="BI60" s="429">
        <f>G60*AP60</f>
        <v>0</v>
      </c>
      <c r="BJ60" s="429">
        <f>G60*H60</f>
        <v>0</v>
      </c>
      <c r="BK60" s="429" t="s">
        <v>813</v>
      </c>
      <c r="BL60" s="431">
        <v>734</v>
      </c>
    </row>
    <row r="61" spans="1:15" ht="12">
      <c r="A61" s="383"/>
      <c r="C61" s="434" t="s">
        <v>4706</v>
      </c>
      <c r="D61" s="435" t="s">
        <v>4798</v>
      </c>
      <c r="E61" s="436"/>
      <c r="F61" s="436"/>
      <c r="G61" s="436"/>
      <c r="H61" s="436"/>
      <c r="I61" s="436"/>
      <c r="J61" s="436"/>
      <c r="K61" s="436"/>
      <c r="L61" s="436"/>
      <c r="M61" s="436"/>
      <c r="N61" s="437"/>
      <c r="O61" s="383"/>
    </row>
    <row r="62" spans="1:64" ht="12">
      <c r="A62" s="425" t="s">
        <v>799</v>
      </c>
      <c r="B62" s="426"/>
      <c r="C62" s="426" t="s">
        <v>4799</v>
      </c>
      <c r="D62" s="427" t="s">
        <v>4800</v>
      </c>
      <c r="E62" s="428"/>
      <c r="F62" s="426" t="s">
        <v>236</v>
      </c>
      <c r="G62" s="429">
        <v>29</v>
      </c>
      <c r="H62" s="429"/>
      <c r="I62" s="429">
        <f>G62*AO62</f>
        <v>0</v>
      </c>
      <c r="J62" s="429">
        <f>G62*AP62</f>
        <v>0</v>
      </c>
      <c r="K62" s="429">
        <f>G62*H62</f>
        <v>0</v>
      </c>
      <c r="L62" s="429">
        <v>0.0006</v>
      </c>
      <c r="M62" s="429">
        <f>G62*L62</f>
        <v>0.0174</v>
      </c>
      <c r="N62" s="430" t="s">
        <v>4702</v>
      </c>
      <c r="O62" s="383"/>
      <c r="Z62" s="431">
        <f>IF(AQ62="5",BJ62,0)</f>
        <v>0</v>
      </c>
      <c r="AB62" s="431">
        <f>IF(AQ62="1",BH62,0)</f>
        <v>0</v>
      </c>
      <c r="AC62" s="431">
        <f>IF(AQ62="1",BI62,0)</f>
        <v>0</v>
      </c>
      <c r="AD62" s="431">
        <f>IF(AQ62="7",BH62,0)</f>
        <v>0</v>
      </c>
      <c r="AE62" s="431">
        <f>IF(AQ62="7",BI62,0)</f>
        <v>0</v>
      </c>
      <c r="AF62" s="431">
        <f>IF(AQ62="2",BH62,0)</f>
        <v>0</v>
      </c>
      <c r="AG62" s="431">
        <f>IF(AQ62="2",BI62,0)</f>
        <v>0</v>
      </c>
      <c r="AH62" s="431">
        <f>IF(AQ62="0",BJ62,0)</f>
        <v>0</v>
      </c>
      <c r="AI62" s="405"/>
      <c r="AJ62" s="429">
        <f>IF(AN62=0,K62,0)</f>
        <v>0</v>
      </c>
      <c r="AK62" s="429">
        <f>IF(AN62=15,K62,0)</f>
        <v>0</v>
      </c>
      <c r="AL62" s="429">
        <f>IF(AN62=21,K62,0)</f>
        <v>0</v>
      </c>
      <c r="AN62" s="431">
        <v>21</v>
      </c>
      <c r="AO62" s="431">
        <f>H62*0.828080808080808</f>
        <v>0</v>
      </c>
      <c r="AP62" s="431">
        <f>H62*(1-0.828080808080808)</f>
        <v>0</v>
      </c>
      <c r="AQ62" s="432" t="s">
        <v>241</v>
      </c>
      <c r="AV62" s="431">
        <f>AW62+AX62</f>
        <v>0</v>
      </c>
      <c r="AW62" s="431">
        <f>G62*AO62</f>
        <v>0</v>
      </c>
      <c r="AX62" s="431">
        <f>G62*AP62</f>
        <v>0</v>
      </c>
      <c r="AY62" s="433" t="s">
        <v>4791</v>
      </c>
      <c r="AZ62" s="433" t="s">
        <v>4733</v>
      </c>
      <c r="BA62" s="405" t="s">
        <v>4705</v>
      </c>
      <c r="BC62" s="431">
        <f>AW62+AX62</f>
        <v>0</v>
      </c>
      <c r="BD62" s="431">
        <f>H62/(100-BE62)*100</f>
        <v>0</v>
      </c>
      <c r="BE62" s="431">
        <v>0</v>
      </c>
      <c r="BF62" s="431">
        <f>M62</f>
        <v>0.0174</v>
      </c>
      <c r="BH62" s="429">
        <f>G62*AO62</f>
        <v>0</v>
      </c>
      <c r="BI62" s="429">
        <f>G62*AP62</f>
        <v>0</v>
      </c>
      <c r="BJ62" s="429">
        <f>G62*H62</f>
        <v>0</v>
      </c>
      <c r="BK62" s="429" t="s">
        <v>813</v>
      </c>
      <c r="BL62" s="431">
        <v>734</v>
      </c>
    </row>
    <row r="63" spans="1:64" ht="12">
      <c r="A63" s="425" t="s">
        <v>1115</v>
      </c>
      <c r="B63" s="426"/>
      <c r="C63" s="426" t="s">
        <v>4801</v>
      </c>
      <c r="D63" s="427" t="s">
        <v>4802</v>
      </c>
      <c r="E63" s="428"/>
      <c r="F63" s="426" t="s">
        <v>236</v>
      </c>
      <c r="G63" s="429">
        <v>29</v>
      </c>
      <c r="H63" s="429"/>
      <c r="I63" s="429">
        <f>G63*AO63</f>
        <v>0</v>
      </c>
      <c r="J63" s="429">
        <f>G63*AP63</f>
        <v>0</v>
      </c>
      <c r="K63" s="429">
        <f>G63*H63</f>
        <v>0</v>
      </c>
      <c r="L63" s="429">
        <v>0.00014</v>
      </c>
      <c r="M63" s="429">
        <f>G63*L63</f>
        <v>0.004059999999999999</v>
      </c>
      <c r="N63" s="430" t="s">
        <v>4702</v>
      </c>
      <c r="O63" s="383"/>
      <c r="Z63" s="431">
        <f>IF(AQ63="5",BJ63,0)</f>
        <v>0</v>
      </c>
      <c r="AB63" s="431">
        <f>IF(AQ63="1",BH63,0)</f>
        <v>0</v>
      </c>
      <c r="AC63" s="431">
        <f>IF(AQ63="1",BI63,0)</f>
        <v>0</v>
      </c>
      <c r="AD63" s="431">
        <f>IF(AQ63="7",BH63,0)</f>
        <v>0</v>
      </c>
      <c r="AE63" s="431">
        <f>IF(AQ63="7",BI63,0)</f>
        <v>0</v>
      </c>
      <c r="AF63" s="431">
        <f>IF(AQ63="2",BH63,0)</f>
        <v>0</v>
      </c>
      <c r="AG63" s="431">
        <f>IF(AQ63="2",BI63,0)</f>
        <v>0</v>
      </c>
      <c r="AH63" s="431">
        <f>IF(AQ63="0",BJ63,0)</f>
        <v>0</v>
      </c>
      <c r="AI63" s="405"/>
      <c r="AJ63" s="429">
        <f>IF(AN63=0,K63,0)</f>
        <v>0</v>
      </c>
      <c r="AK63" s="429">
        <f>IF(AN63=15,K63,0)</f>
        <v>0</v>
      </c>
      <c r="AL63" s="429">
        <f>IF(AN63=21,K63,0)</f>
        <v>0</v>
      </c>
      <c r="AN63" s="431">
        <v>21</v>
      </c>
      <c r="AO63" s="431">
        <f>H63*0.904572158365262</f>
        <v>0</v>
      </c>
      <c r="AP63" s="431">
        <f>H63*(1-0.904572158365262)</f>
        <v>0</v>
      </c>
      <c r="AQ63" s="432" t="s">
        <v>241</v>
      </c>
      <c r="AV63" s="431">
        <f>AW63+AX63</f>
        <v>0</v>
      </c>
      <c r="AW63" s="431">
        <f>G63*AO63</f>
        <v>0</v>
      </c>
      <c r="AX63" s="431">
        <f>G63*AP63</f>
        <v>0</v>
      </c>
      <c r="AY63" s="433" t="s">
        <v>4791</v>
      </c>
      <c r="AZ63" s="433" t="s">
        <v>4733</v>
      </c>
      <c r="BA63" s="405" t="s">
        <v>4705</v>
      </c>
      <c r="BC63" s="431">
        <f>AW63+AX63</f>
        <v>0</v>
      </c>
      <c r="BD63" s="431">
        <f>H63/(100-BE63)*100</f>
        <v>0</v>
      </c>
      <c r="BE63" s="431">
        <v>0</v>
      </c>
      <c r="BF63" s="431">
        <f>M63</f>
        <v>0.004059999999999999</v>
      </c>
      <c r="BH63" s="429">
        <f>G63*AO63</f>
        <v>0</v>
      </c>
      <c r="BI63" s="429">
        <f>G63*AP63</f>
        <v>0</v>
      </c>
      <c r="BJ63" s="429">
        <f>G63*H63</f>
        <v>0</v>
      </c>
      <c r="BK63" s="429" t="s">
        <v>813</v>
      </c>
      <c r="BL63" s="431">
        <v>734</v>
      </c>
    </row>
    <row r="64" spans="1:64" ht="12">
      <c r="A64" s="425" t="s">
        <v>1117</v>
      </c>
      <c r="B64" s="426"/>
      <c r="C64" s="426" t="s">
        <v>4803</v>
      </c>
      <c r="D64" s="427" t="s">
        <v>4804</v>
      </c>
      <c r="E64" s="428"/>
      <c r="F64" s="426" t="s">
        <v>183</v>
      </c>
      <c r="G64" s="429">
        <v>0.04981</v>
      </c>
      <c r="H64" s="429"/>
      <c r="I64" s="429">
        <f>G64*AO64</f>
        <v>0</v>
      </c>
      <c r="J64" s="429">
        <f>G64*AP64</f>
        <v>0</v>
      </c>
      <c r="K64" s="429">
        <f>G64*H64</f>
        <v>0</v>
      </c>
      <c r="L64" s="429">
        <v>0</v>
      </c>
      <c r="M64" s="429">
        <f>G64*L64</f>
        <v>0</v>
      </c>
      <c r="N64" s="430" t="s">
        <v>4702</v>
      </c>
      <c r="O64" s="383"/>
      <c r="Z64" s="431">
        <f>IF(AQ64="5",BJ64,0)</f>
        <v>0</v>
      </c>
      <c r="AB64" s="431">
        <f>IF(AQ64="1",BH64,0)</f>
        <v>0</v>
      </c>
      <c r="AC64" s="431">
        <f>IF(AQ64="1",BI64,0)</f>
        <v>0</v>
      </c>
      <c r="AD64" s="431">
        <f>IF(AQ64="7",BH64,0)</f>
        <v>0</v>
      </c>
      <c r="AE64" s="431">
        <f>IF(AQ64="7",BI64,0)</f>
        <v>0</v>
      </c>
      <c r="AF64" s="431">
        <f>IF(AQ64="2",BH64,0)</f>
        <v>0</v>
      </c>
      <c r="AG64" s="431">
        <f>IF(AQ64="2",BI64,0)</f>
        <v>0</v>
      </c>
      <c r="AH64" s="431">
        <f>IF(AQ64="0",BJ64,0)</f>
        <v>0</v>
      </c>
      <c r="AI64" s="405"/>
      <c r="AJ64" s="429">
        <f>IF(AN64=0,K64,0)</f>
        <v>0</v>
      </c>
      <c r="AK64" s="429">
        <f>IF(AN64=15,K64,0)</f>
        <v>0</v>
      </c>
      <c r="AL64" s="429">
        <f>IF(AN64=21,K64,0)</f>
        <v>0</v>
      </c>
      <c r="AN64" s="431">
        <v>21</v>
      </c>
      <c r="AO64" s="431">
        <f>H64*0</f>
        <v>0</v>
      </c>
      <c r="AP64" s="431">
        <f>H64*(1-0)</f>
        <v>0</v>
      </c>
      <c r="AQ64" s="432" t="s">
        <v>200</v>
      </c>
      <c r="AV64" s="431">
        <f>AW64+AX64</f>
        <v>0</v>
      </c>
      <c r="AW64" s="431">
        <f>G64*AO64</f>
        <v>0</v>
      </c>
      <c r="AX64" s="431">
        <f>G64*AP64</f>
        <v>0</v>
      </c>
      <c r="AY64" s="433" t="s">
        <v>4791</v>
      </c>
      <c r="AZ64" s="433" t="s">
        <v>4733</v>
      </c>
      <c r="BA64" s="405" t="s">
        <v>4705</v>
      </c>
      <c r="BC64" s="431">
        <f>AW64+AX64</f>
        <v>0</v>
      </c>
      <c r="BD64" s="431">
        <f>H64/(100-BE64)*100</f>
        <v>0</v>
      </c>
      <c r="BE64" s="431">
        <v>0</v>
      </c>
      <c r="BF64" s="431">
        <f>M64</f>
        <v>0</v>
      </c>
      <c r="BH64" s="429">
        <f>G64*AO64</f>
        <v>0</v>
      </c>
      <c r="BI64" s="429">
        <f>G64*AP64</f>
        <v>0</v>
      </c>
      <c r="BJ64" s="429">
        <f>G64*H64</f>
        <v>0</v>
      </c>
      <c r="BK64" s="429" t="s">
        <v>813</v>
      </c>
      <c r="BL64" s="431">
        <v>734</v>
      </c>
    </row>
    <row r="65" spans="1:47" ht="12">
      <c r="A65" s="438"/>
      <c r="B65" s="439"/>
      <c r="C65" s="439" t="s">
        <v>3836</v>
      </c>
      <c r="D65" s="440" t="s">
        <v>4805</v>
      </c>
      <c r="E65" s="441"/>
      <c r="F65" s="442" t="s">
        <v>4598</v>
      </c>
      <c r="G65" s="442" t="s">
        <v>4598</v>
      </c>
      <c r="H65" s="442" t="s">
        <v>4598</v>
      </c>
      <c r="I65" s="424">
        <f>SUM(I66:I79)</f>
        <v>0</v>
      </c>
      <c r="J65" s="424">
        <f>SUM(J66:J79)</f>
        <v>0</v>
      </c>
      <c r="K65" s="424">
        <f>SUM(K66:K79)</f>
        <v>0</v>
      </c>
      <c r="L65" s="405"/>
      <c r="M65" s="424">
        <f>SUM(M66:M79)</f>
        <v>1.5440899999999997</v>
      </c>
      <c r="N65" s="443"/>
      <c r="O65" s="383"/>
      <c r="AI65" s="405"/>
      <c r="AS65" s="424">
        <f>SUM(AJ66:AJ79)</f>
        <v>0</v>
      </c>
      <c r="AT65" s="424">
        <f>SUM(AK66:AK79)</f>
        <v>0</v>
      </c>
      <c r="AU65" s="424">
        <f>SUM(AL66:AL79)</f>
        <v>0</v>
      </c>
    </row>
    <row r="66" spans="1:64" ht="12">
      <c r="A66" s="425" t="s">
        <v>1124</v>
      </c>
      <c r="B66" s="426"/>
      <c r="C66" s="426" t="s">
        <v>4806</v>
      </c>
      <c r="D66" s="427" t="s">
        <v>4807</v>
      </c>
      <c r="E66" s="428"/>
      <c r="F66" s="426" t="s">
        <v>236</v>
      </c>
      <c r="G66" s="429">
        <v>29</v>
      </c>
      <c r="H66" s="429"/>
      <c r="I66" s="429">
        <f aca="true" t="shared" si="50" ref="I66:I79">G66*AO66</f>
        <v>0</v>
      </c>
      <c r="J66" s="429">
        <f aca="true" t="shared" si="51" ref="J66:J79">G66*AP66</f>
        <v>0</v>
      </c>
      <c r="K66" s="429">
        <f aca="true" t="shared" si="52" ref="K66:K79">G66*H66</f>
        <v>0</v>
      </c>
      <c r="L66" s="429">
        <v>0</v>
      </c>
      <c r="M66" s="429">
        <f aca="true" t="shared" si="53" ref="M66:M79">G66*L66</f>
        <v>0</v>
      </c>
      <c r="N66" s="430" t="s">
        <v>4702</v>
      </c>
      <c r="O66" s="383"/>
      <c r="Z66" s="431">
        <f aca="true" t="shared" si="54" ref="Z66:Z79">IF(AQ66="5",BJ66,0)</f>
        <v>0</v>
      </c>
      <c r="AB66" s="431">
        <f aca="true" t="shared" si="55" ref="AB66:AB79">IF(AQ66="1",BH66,0)</f>
        <v>0</v>
      </c>
      <c r="AC66" s="431">
        <f aca="true" t="shared" si="56" ref="AC66:AC79">IF(AQ66="1",BI66,0)</f>
        <v>0</v>
      </c>
      <c r="AD66" s="431">
        <f aca="true" t="shared" si="57" ref="AD66:AD79">IF(AQ66="7",BH66,0)</f>
        <v>0</v>
      </c>
      <c r="AE66" s="431">
        <f aca="true" t="shared" si="58" ref="AE66:AE79">IF(AQ66="7",BI66,0)</f>
        <v>0</v>
      </c>
      <c r="AF66" s="431">
        <f aca="true" t="shared" si="59" ref="AF66:AF79">IF(AQ66="2",BH66,0)</f>
        <v>0</v>
      </c>
      <c r="AG66" s="431">
        <f aca="true" t="shared" si="60" ref="AG66:AG79">IF(AQ66="2",BI66,0)</f>
        <v>0</v>
      </c>
      <c r="AH66" s="431">
        <f aca="true" t="shared" si="61" ref="AH66:AH79">IF(AQ66="0",BJ66,0)</f>
        <v>0</v>
      </c>
      <c r="AI66" s="405"/>
      <c r="AJ66" s="429">
        <f aca="true" t="shared" si="62" ref="AJ66:AJ79">IF(AN66=0,K66,0)</f>
        <v>0</v>
      </c>
      <c r="AK66" s="429">
        <f aca="true" t="shared" si="63" ref="AK66:AK79">IF(AN66=15,K66,0)</f>
        <v>0</v>
      </c>
      <c r="AL66" s="429">
        <f aca="true" t="shared" si="64" ref="AL66:AL79">IF(AN66=21,K66,0)</f>
        <v>0</v>
      </c>
      <c r="AN66" s="431">
        <v>21</v>
      </c>
      <c r="AO66" s="431">
        <f>H66*0</f>
        <v>0</v>
      </c>
      <c r="AP66" s="431">
        <f>H66*(1-0)</f>
        <v>0</v>
      </c>
      <c r="AQ66" s="432" t="s">
        <v>241</v>
      </c>
      <c r="AV66" s="431">
        <f aca="true" t="shared" si="65" ref="AV66:AV79">AW66+AX66</f>
        <v>0</v>
      </c>
      <c r="AW66" s="431">
        <f aca="true" t="shared" si="66" ref="AW66:AW79">G66*AO66</f>
        <v>0</v>
      </c>
      <c r="AX66" s="431">
        <f aca="true" t="shared" si="67" ref="AX66:AX79">G66*AP66</f>
        <v>0</v>
      </c>
      <c r="AY66" s="433" t="s">
        <v>4808</v>
      </c>
      <c r="AZ66" s="433" t="s">
        <v>4733</v>
      </c>
      <c r="BA66" s="405" t="s">
        <v>4705</v>
      </c>
      <c r="BC66" s="431">
        <f aca="true" t="shared" si="68" ref="BC66:BC79">AW66+AX66</f>
        <v>0</v>
      </c>
      <c r="BD66" s="431">
        <f aca="true" t="shared" si="69" ref="BD66:BD79">H66/(100-BE66)*100</f>
        <v>0</v>
      </c>
      <c r="BE66" s="431">
        <v>0</v>
      </c>
      <c r="BF66" s="431">
        <f aca="true" t="shared" si="70" ref="BF66:BF79">M66</f>
        <v>0</v>
      </c>
      <c r="BH66" s="429">
        <f aca="true" t="shared" si="71" ref="BH66:BH79">G66*AO66</f>
        <v>0</v>
      </c>
      <c r="BI66" s="429">
        <f aca="true" t="shared" si="72" ref="BI66:BI79">G66*AP66</f>
        <v>0</v>
      </c>
      <c r="BJ66" s="429">
        <f aca="true" t="shared" si="73" ref="BJ66:BJ79">G66*H66</f>
        <v>0</v>
      </c>
      <c r="BK66" s="429" t="s">
        <v>813</v>
      </c>
      <c r="BL66" s="431">
        <v>735</v>
      </c>
    </row>
    <row r="67" spans="1:64" ht="12">
      <c r="A67" s="425" t="s">
        <v>1130</v>
      </c>
      <c r="B67" s="426"/>
      <c r="C67" s="426" t="s">
        <v>4809</v>
      </c>
      <c r="D67" s="427" t="s">
        <v>4810</v>
      </c>
      <c r="E67" s="428"/>
      <c r="F67" s="426" t="s">
        <v>236</v>
      </c>
      <c r="G67" s="429">
        <v>29</v>
      </c>
      <c r="H67" s="429"/>
      <c r="I67" s="429">
        <f t="shared" si="50"/>
        <v>0</v>
      </c>
      <c r="J67" s="429">
        <f t="shared" si="51"/>
        <v>0</v>
      </c>
      <c r="K67" s="429">
        <f t="shared" si="52"/>
        <v>0</v>
      </c>
      <c r="L67" s="429">
        <v>4E-05</v>
      </c>
      <c r="M67" s="429">
        <f t="shared" si="53"/>
        <v>0.00116</v>
      </c>
      <c r="N67" s="430" t="s">
        <v>4702</v>
      </c>
      <c r="O67" s="383"/>
      <c r="Z67" s="431">
        <f t="shared" si="54"/>
        <v>0</v>
      </c>
      <c r="AB67" s="431">
        <f t="shared" si="55"/>
        <v>0</v>
      </c>
      <c r="AC67" s="431">
        <f t="shared" si="56"/>
        <v>0</v>
      </c>
      <c r="AD67" s="431">
        <f t="shared" si="57"/>
        <v>0</v>
      </c>
      <c r="AE67" s="431">
        <f t="shared" si="58"/>
        <v>0</v>
      </c>
      <c r="AF67" s="431">
        <f t="shared" si="59"/>
        <v>0</v>
      </c>
      <c r="AG67" s="431">
        <f t="shared" si="60"/>
        <v>0</v>
      </c>
      <c r="AH67" s="431">
        <f t="shared" si="61"/>
        <v>0</v>
      </c>
      <c r="AI67" s="405"/>
      <c r="AJ67" s="429">
        <f t="shared" si="62"/>
        <v>0</v>
      </c>
      <c r="AK67" s="429">
        <f t="shared" si="63"/>
        <v>0</v>
      </c>
      <c r="AL67" s="429">
        <f t="shared" si="64"/>
        <v>0</v>
      </c>
      <c r="AN67" s="431">
        <v>21</v>
      </c>
      <c r="AO67" s="431">
        <f>H67*0.461216284134696</f>
        <v>0</v>
      </c>
      <c r="AP67" s="431">
        <f>H67*(1-0.461216284134696)</f>
        <v>0</v>
      </c>
      <c r="AQ67" s="432" t="s">
        <v>241</v>
      </c>
      <c r="AV67" s="431">
        <f t="shared" si="65"/>
        <v>0</v>
      </c>
      <c r="AW67" s="431">
        <f t="shared" si="66"/>
        <v>0</v>
      </c>
      <c r="AX67" s="431">
        <f t="shared" si="67"/>
        <v>0</v>
      </c>
      <c r="AY67" s="433" t="s">
        <v>4808</v>
      </c>
      <c r="AZ67" s="433" t="s">
        <v>4733</v>
      </c>
      <c r="BA67" s="405" t="s">
        <v>4705</v>
      </c>
      <c r="BC67" s="431">
        <f t="shared" si="68"/>
        <v>0</v>
      </c>
      <c r="BD67" s="431">
        <f t="shared" si="69"/>
        <v>0</v>
      </c>
      <c r="BE67" s="431">
        <v>0</v>
      </c>
      <c r="BF67" s="431">
        <f t="shared" si="70"/>
        <v>0.00116</v>
      </c>
      <c r="BH67" s="429">
        <f t="shared" si="71"/>
        <v>0</v>
      </c>
      <c r="BI67" s="429">
        <f t="shared" si="72"/>
        <v>0</v>
      </c>
      <c r="BJ67" s="429">
        <f t="shared" si="73"/>
        <v>0</v>
      </c>
      <c r="BK67" s="429" t="s">
        <v>813</v>
      </c>
      <c r="BL67" s="431">
        <v>735</v>
      </c>
    </row>
    <row r="68" spans="1:64" ht="12">
      <c r="A68" s="425" t="s">
        <v>1132</v>
      </c>
      <c r="B68" s="426"/>
      <c r="C68" s="426" t="s">
        <v>4811</v>
      </c>
      <c r="D68" s="427" t="s">
        <v>4812</v>
      </c>
      <c r="E68" s="428"/>
      <c r="F68" s="426" t="s">
        <v>236</v>
      </c>
      <c r="G68" s="429">
        <v>1</v>
      </c>
      <c r="H68" s="429"/>
      <c r="I68" s="429">
        <f t="shared" si="50"/>
        <v>0</v>
      </c>
      <c r="J68" s="429">
        <f t="shared" si="51"/>
        <v>0</v>
      </c>
      <c r="K68" s="429">
        <f t="shared" si="52"/>
        <v>0</v>
      </c>
      <c r="L68" s="429">
        <v>0.0122</v>
      </c>
      <c r="M68" s="429">
        <f t="shared" si="53"/>
        <v>0.0122</v>
      </c>
      <c r="N68" s="430" t="s">
        <v>4702</v>
      </c>
      <c r="O68" s="383"/>
      <c r="Z68" s="431">
        <f t="shared" si="54"/>
        <v>0</v>
      </c>
      <c r="AB68" s="431">
        <f t="shared" si="55"/>
        <v>0</v>
      </c>
      <c r="AC68" s="431">
        <f t="shared" si="56"/>
        <v>0</v>
      </c>
      <c r="AD68" s="431">
        <f t="shared" si="57"/>
        <v>0</v>
      </c>
      <c r="AE68" s="431">
        <f t="shared" si="58"/>
        <v>0</v>
      </c>
      <c r="AF68" s="431">
        <f t="shared" si="59"/>
        <v>0</v>
      </c>
      <c r="AG68" s="431">
        <f t="shared" si="60"/>
        <v>0</v>
      </c>
      <c r="AH68" s="431">
        <f t="shared" si="61"/>
        <v>0</v>
      </c>
      <c r="AI68" s="405"/>
      <c r="AJ68" s="429">
        <f t="shared" si="62"/>
        <v>0</v>
      </c>
      <c r="AK68" s="429">
        <f t="shared" si="63"/>
        <v>0</v>
      </c>
      <c r="AL68" s="429">
        <f t="shared" si="64"/>
        <v>0</v>
      </c>
      <c r="AN68" s="431">
        <v>21</v>
      </c>
      <c r="AO68" s="431">
        <f>H68*0.914673097534834</f>
        <v>0</v>
      </c>
      <c r="AP68" s="431">
        <f>H68*(1-0.914673097534834)</f>
        <v>0</v>
      </c>
      <c r="AQ68" s="432" t="s">
        <v>241</v>
      </c>
      <c r="AV68" s="431">
        <f t="shared" si="65"/>
        <v>0</v>
      </c>
      <c r="AW68" s="431">
        <f t="shared" si="66"/>
        <v>0</v>
      </c>
      <c r="AX68" s="431">
        <f t="shared" si="67"/>
        <v>0</v>
      </c>
      <c r="AY68" s="433" t="s">
        <v>4808</v>
      </c>
      <c r="AZ68" s="433" t="s">
        <v>4733</v>
      </c>
      <c r="BA68" s="405" t="s">
        <v>4705</v>
      </c>
      <c r="BC68" s="431">
        <f t="shared" si="68"/>
        <v>0</v>
      </c>
      <c r="BD68" s="431">
        <f t="shared" si="69"/>
        <v>0</v>
      </c>
      <c r="BE68" s="431">
        <v>0</v>
      </c>
      <c r="BF68" s="431">
        <f t="shared" si="70"/>
        <v>0.0122</v>
      </c>
      <c r="BH68" s="429">
        <f t="shared" si="71"/>
        <v>0</v>
      </c>
      <c r="BI68" s="429">
        <f t="shared" si="72"/>
        <v>0</v>
      </c>
      <c r="BJ68" s="429">
        <f t="shared" si="73"/>
        <v>0</v>
      </c>
      <c r="BK68" s="429" t="s">
        <v>813</v>
      </c>
      <c r="BL68" s="431">
        <v>735</v>
      </c>
    </row>
    <row r="69" spans="1:64" ht="12">
      <c r="A69" s="425" t="s">
        <v>1134</v>
      </c>
      <c r="B69" s="426"/>
      <c r="C69" s="426" t="s">
        <v>4813</v>
      </c>
      <c r="D69" s="427" t="s">
        <v>4814</v>
      </c>
      <c r="E69" s="428"/>
      <c r="F69" s="426" t="s">
        <v>236</v>
      </c>
      <c r="G69" s="429">
        <v>2</v>
      </c>
      <c r="H69" s="429"/>
      <c r="I69" s="429">
        <f t="shared" si="50"/>
        <v>0</v>
      </c>
      <c r="J69" s="429">
        <f t="shared" si="51"/>
        <v>0</v>
      </c>
      <c r="K69" s="429">
        <f t="shared" si="52"/>
        <v>0</v>
      </c>
      <c r="L69" s="429">
        <v>0.01575</v>
      </c>
      <c r="M69" s="429">
        <f t="shared" si="53"/>
        <v>0.0315</v>
      </c>
      <c r="N69" s="430" t="s">
        <v>4702</v>
      </c>
      <c r="O69" s="383"/>
      <c r="Z69" s="431">
        <f t="shared" si="54"/>
        <v>0</v>
      </c>
      <c r="AB69" s="431">
        <f t="shared" si="55"/>
        <v>0</v>
      </c>
      <c r="AC69" s="431">
        <f t="shared" si="56"/>
        <v>0</v>
      </c>
      <c r="AD69" s="431">
        <f t="shared" si="57"/>
        <v>0</v>
      </c>
      <c r="AE69" s="431">
        <f t="shared" si="58"/>
        <v>0</v>
      </c>
      <c r="AF69" s="431">
        <f t="shared" si="59"/>
        <v>0</v>
      </c>
      <c r="AG69" s="431">
        <f t="shared" si="60"/>
        <v>0</v>
      </c>
      <c r="AH69" s="431">
        <f t="shared" si="61"/>
        <v>0</v>
      </c>
      <c r="AI69" s="405"/>
      <c r="AJ69" s="429">
        <f t="shared" si="62"/>
        <v>0</v>
      </c>
      <c r="AK69" s="429">
        <f t="shared" si="63"/>
        <v>0</v>
      </c>
      <c r="AL69" s="429">
        <f t="shared" si="64"/>
        <v>0</v>
      </c>
      <c r="AN69" s="431">
        <v>21</v>
      </c>
      <c r="AO69" s="431">
        <f>H69*0.921411648568608</f>
        <v>0</v>
      </c>
      <c r="AP69" s="431">
        <f>H69*(1-0.921411648568608)</f>
        <v>0</v>
      </c>
      <c r="AQ69" s="432" t="s">
        <v>241</v>
      </c>
      <c r="AV69" s="431">
        <f t="shared" si="65"/>
        <v>0</v>
      </c>
      <c r="AW69" s="431">
        <f t="shared" si="66"/>
        <v>0</v>
      </c>
      <c r="AX69" s="431">
        <f t="shared" si="67"/>
        <v>0</v>
      </c>
      <c r="AY69" s="433" t="s">
        <v>4808</v>
      </c>
      <c r="AZ69" s="433" t="s">
        <v>4733</v>
      </c>
      <c r="BA69" s="405" t="s">
        <v>4705</v>
      </c>
      <c r="BC69" s="431">
        <f t="shared" si="68"/>
        <v>0</v>
      </c>
      <c r="BD69" s="431">
        <f t="shared" si="69"/>
        <v>0</v>
      </c>
      <c r="BE69" s="431">
        <v>0</v>
      </c>
      <c r="BF69" s="431">
        <f t="shared" si="70"/>
        <v>0.0315</v>
      </c>
      <c r="BH69" s="429">
        <f t="shared" si="71"/>
        <v>0</v>
      </c>
      <c r="BI69" s="429">
        <f t="shared" si="72"/>
        <v>0</v>
      </c>
      <c r="BJ69" s="429">
        <f t="shared" si="73"/>
        <v>0</v>
      </c>
      <c r="BK69" s="429" t="s">
        <v>813</v>
      </c>
      <c r="BL69" s="431">
        <v>735</v>
      </c>
    </row>
    <row r="70" spans="1:64" ht="12">
      <c r="A70" s="425" t="s">
        <v>1140</v>
      </c>
      <c r="B70" s="426"/>
      <c r="C70" s="426" t="s">
        <v>4815</v>
      </c>
      <c r="D70" s="427" t="s">
        <v>4816</v>
      </c>
      <c r="E70" s="428"/>
      <c r="F70" s="426" t="s">
        <v>236</v>
      </c>
      <c r="G70" s="429">
        <v>1</v>
      </c>
      <c r="H70" s="429"/>
      <c r="I70" s="429">
        <f t="shared" si="50"/>
        <v>0</v>
      </c>
      <c r="J70" s="429">
        <f t="shared" si="51"/>
        <v>0</v>
      </c>
      <c r="K70" s="429">
        <f t="shared" si="52"/>
        <v>0</v>
      </c>
      <c r="L70" s="429">
        <v>0.02135</v>
      </c>
      <c r="M70" s="429">
        <f t="shared" si="53"/>
        <v>0.02135</v>
      </c>
      <c r="N70" s="430" t="s">
        <v>4702</v>
      </c>
      <c r="O70" s="383"/>
      <c r="Z70" s="431">
        <f t="shared" si="54"/>
        <v>0</v>
      </c>
      <c r="AB70" s="431">
        <f t="shared" si="55"/>
        <v>0</v>
      </c>
      <c r="AC70" s="431">
        <f t="shared" si="56"/>
        <v>0</v>
      </c>
      <c r="AD70" s="431">
        <f t="shared" si="57"/>
        <v>0</v>
      </c>
      <c r="AE70" s="431">
        <f t="shared" si="58"/>
        <v>0</v>
      </c>
      <c r="AF70" s="431">
        <f t="shared" si="59"/>
        <v>0</v>
      </c>
      <c r="AG70" s="431">
        <f t="shared" si="60"/>
        <v>0</v>
      </c>
      <c r="AH70" s="431">
        <f t="shared" si="61"/>
        <v>0</v>
      </c>
      <c r="AI70" s="405"/>
      <c r="AJ70" s="429">
        <f t="shared" si="62"/>
        <v>0</v>
      </c>
      <c r="AK70" s="429">
        <f t="shared" si="63"/>
        <v>0</v>
      </c>
      <c r="AL70" s="429">
        <f t="shared" si="64"/>
        <v>0</v>
      </c>
      <c r="AN70" s="431">
        <v>21</v>
      </c>
      <c r="AO70" s="431">
        <f>H70*0.930896199495401</f>
        <v>0</v>
      </c>
      <c r="AP70" s="431">
        <f>H70*(1-0.930896199495401)</f>
        <v>0</v>
      </c>
      <c r="AQ70" s="432" t="s">
        <v>241</v>
      </c>
      <c r="AV70" s="431">
        <f t="shared" si="65"/>
        <v>0</v>
      </c>
      <c r="AW70" s="431">
        <f t="shared" si="66"/>
        <v>0</v>
      </c>
      <c r="AX70" s="431">
        <f t="shared" si="67"/>
        <v>0</v>
      </c>
      <c r="AY70" s="433" t="s">
        <v>4808</v>
      </c>
      <c r="AZ70" s="433" t="s">
        <v>4733</v>
      </c>
      <c r="BA70" s="405" t="s">
        <v>4705</v>
      </c>
      <c r="BC70" s="431">
        <f t="shared" si="68"/>
        <v>0</v>
      </c>
      <c r="BD70" s="431">
        <f t="shared" si="69"/>
        <v>0</v>
      </c>
      <c r="BE70" s="431">
        <v>0</v>
      </c>
      <c r="BF70" s="431">
        <f t="shared" si="70"/>
        <v>0.02135</v>
      </c>
      <c r="BH70" s="429">
        <f t="shared" si="71"/>
        <v>0</v>
      </c>
      <c r="BI70" s="429">
        <f t="shared" si="72"/>
        <v>0</v>
      </c>
      <c r="BJ70" s="429">
        <f t="shared" si="73"/>
        <v>0</v>
      </c>
      <c r="BK70" s="429" t="s">
        <v>813</v>
      </c>
      <c r="BL70" s="431">
        <v>735</v>
      </c>
    </row>
    <row r="71" spans="1:64" ht="12">
      <c r="A71" s="425" t="s">
        <v>1144</v>
      </c>
      <c r="B71" s="426"/>
      <c r="C71" s="426" t="s">
        <v>4817</v>
      </c>
      <c r="D71" s="427" t="s">
        <v>4818</v>
      </c>
      <c r="E71" s="428"/>
      <c r="F71" s="426" t="s">
        <v>236</v>
      </c>
      <c r="G71" s="429">
        <v>1</v>
      </c>
      <c r="H71" s="429"/>
      <c r="I71" s="429">
        <f t="shared" si="50"/>
        <v>0</v>
      </c>
      <c r="J71" s="429">
        <f t="shared" si="51"/>
        <v>0</v>
      </c>
      <c r="K71" s="429">
        <f t="shared" si="52"/>
        <v>0</v>
      </c>
      <c r="L71" s="429">
        <v>0.0244</v>
      </c>
      <c r="M71" s="429">
        <f t="shared" si="53"/>
        <v>0.0244</v>
      </c>
      <c r="N71" s="430" t="s">
        <v>4702</v>
      </c>
      <c r="O71" s="383"/>
      <c r="Z71" s="431">
        <f t="shared" si="54"/>
        <v>0</v>
      </c>
      <c r="AB71" s="431">
        <f t="shared" si="55"/>
        <v>0</v>
      </c>
      <c r="AC71" s="431">
        <f t="shared" si="56"/>
        <v>0</v>
      </c>
      <c r="AD71" s="431">
        <f t="shared" si="57"/>
        <v>0</v>
      </c>
      <c r="AE71" s="431">
        <f t="shared" si="58"/>
        <v>0</v>
      </c>
      <c r="AF71" s="431">
        <f t="shared" si="59"/>
        <v>0</v>
      </c>
      <c r="AG71" s="431">
        <f t="shared" si="60"/>
        <v>0</v>
      </c>
      <c r="AH71" s="431">
        <f t="shared" si="61"/>
        <v>0</v>
      </c>
      <c r="AI71" s="405"/>
      <c r="AJ71" s="429">
        <f t="shared" si="62"/>
        <v>0</v>
      </c>
      <c r="AK71" s="429">
        <f t="shared" si="63"/>
        <v>0</v>
      </c>
      <c r="AL71" s="429">
        <f t="shared" si="64"/>
        <v>0</v>
      </c>
      <c r="AN71" s="431">
        <v>21</v>
      </c>
      <c r="AO71" s="431">
        <f>H71*0.934094098883573</f>
        <v>0</v>
      </c>
      <c r="AP71" s="431">
        <f>H71*(1-0.934094098883573)</f>
        <v>0</v>
      </c>
      <c r="AQ71" s="432" t="s">
        <v>241</v>
      </c>
      <c r="AV71" s="431">
        <f t="shared" si="65"/>
        <v>0</v>
      </c>
      <c r="AW71" s="431">
        <f t="shared" si="66"/>
        <v>0</v>
      </c>
      <c r="AX71" s="431">
        <f t="shared" si="67"/>
        <v>0</v>
      </c>
      <c r="AY71" s="433" t="s">
        <v>4808</v>
      </c>
      <c r="AZ71" s="433" t="s">
        <v>4733</v>
      </c>
      <c r="BA71" s="405" t="s">
        <v>4705</v>
      </c>
      <c r="BC71" s="431">
        <f t="shared" si="68"/>
        <v>0</v>
      </c>
      <c r="BD71" s="431">
        <f t="shared" si="69"/>
        <v>0</v>
      </c>
      <c r="BE71" s="431">
        <v>0</v>
      </c>
      <c r="BF71" s="431">
        <f t="shared" si="70"/>
        <v>0.0244</v>
      </c>
      <c r="BH71" s="429">
        <f t="shared" si="71"/>
        <v>0</v>
      </c>
      <c r="BI71" s="429">
        <f t="shared" si="72"/>
        <v>0</v>
      </c>
      <c r="BJ71" s="429">
        <f t="shared" si="73"/>
        <v>0</v>
      </c>
      <c r="BK71" s="429" t="s">
        <v>813</v>
      </c>
      <c r="BL71" s="431">
        <v>735</v>
      </c>
    </row>
    <row r="72" spans="1:64" ht="12">
      <c r="A72" s="425" t="s">
        <v>1148</v>
      </c>
      <c r="B72" s="426"/>
      <c r="C72" s="426" t="s">
        <v>4819</v>
      </c>
      <c r="D72" s="427" t="s">
        <v>4820</v>
      </c>
      <c r="E72" s="428"/>
      <c r="F72" s="426" t="s">
        <v>236</v>
      </c>
      <c r="G72" s="429">
        <v>1</v>
      </c>
      <c r="H72" s="429"/>
      <c r="I72" s="429">
        <f t="shared" si="50"/>
        <v>0</v>
      </c>
      <c r="J72" s="429">
        <f t="shared" si="51"/>
        <v>0</v>
      </c>
      <c r="K72" s="429">
        <f t="shared" si="52"/>
        <v>0</v>
      </c>
      <c r="L72" s="429">
        <v>0.02904</v>
      </c>
      <c r="M72" s="429">
        <f t="shared" si="53"/>
        <v>0.02904</v>
      </c>
      <c r="N72" s="430" t="s">
        <v>4702</v>
      </c>
      <c r="O72" s="383"/>
      <c r="Z72" s="431">
        <f t="shared" si="54"/>
        <v>0</v>
      </c>
      <c r="AB72" s="431">
        <f t="shared" si="55"/>
        <v>0</v>
      </c>
      <c r="AC72" s="431">
        <f t="shared" si="56"/>
        <v>0</v>
      </c>
      <c r="AD72" s="431">
        <f t="shared" si="57"/>
        <v>0</v>
      </c>
      <c r="AE72" s="431">
        <f t="shared" si="58"/>
        <v>0</v>
      </c>
      <c r="AF72" s="431">
        <f t="shared" si="59"/>
        <v>0</v>
      </c>
      <c r="AG72" s="431">
        <f t="shared" si="60"/>
        <v>0</v>
      </c>
      <c r="AH72" s="431">
        <f t="shared" si="61"/>
        <v>0</v>
      </c>
      <c r="AI72" s="405"/>
      <c r="AJ72" s="429">
        <f t="shared" si="62"/>
        <v>0</v>
      </c>
      <c r="AK72" s="429">
        <f t="shared" si="63"/>
        <v>0</v>
      </c>
      <c r="AL72" s="429">
        <f t="shared" si="64"/>
        <v>0</v>
      </c>
      <c r="AN72" s="431">
        <v>21</v>
      </c>
      <c r="AO72" s="431">
        <f>H72*0.939806263656227</f>
        <v>0</v>
      </c>
      <c r="AP72" s="431">
        <f>H72*(1-0.939806263656227)</f>
        <v>0</v>
      </c>
      <c r="AQ72" s="432" t="s">
        <v>241</v>
      </c>
      <c r="AV72" s="431">
        <f t="shared" si="65"/>
        <v>0</v>
      </c>
      <c r="AW72" s="431">
        <f t="shared" si="66"/>
        <v>0</v>
      </c>
      <c r="AX72" s="431">
        <f t="shared" si="67"/>
        <v>0</v>
      </c>
      <c r="AY72" s="433" t="s">
        <v>4808</v>
      </c>
      <c r="AZ72" s="433" t="s">
        <v>4733</v>
      </c>
      <c r="BA72" s="405" t="s">
        <v>4705</v>
      </c>
      <c r="BC72" s="431">
        <f t="shared" si="68"/>
        <v>0</v>
      </c>
      <c r="BD72" s="431">
        <f t="shared" si="69"/>
        <v>0</v>
      </c>
      <c r="BE72" s="431">
        <v>0</v>
      </c>
      <c r="BF72" s="431">
        <f t="shared" si="70"/>
        <v>0.02904</v>
      </c>
      <c r="BH72" s="429">
        <f t="shared" si="71"/>
        <v>0</v>
      </c>
      <c r="BI72" s="429">
        <f t="shared" si="72"/>
        <v>0</v>
      </c>
      <c r="BJ72" s="429">
        <f t="shared" si="73"/>
        <v>0</v>
      </c>
      <c r="BK72" s="429" t="s">
        <v>813</v>
      </c>
      <c r="BL72" s="431">
        <v>735</v>
      </c>
    </row>
    <row r="73" spans="1:64" ht="12">
      <c r="A73" s="425" t="s">
        <v>1156</v>
      </c>
      <c r="B73" s="426"/>
      <c r="C73" s="426" t="s">
        <v>4821</v>
      </c>
      <c r="D73" s="427" t="s">
        <v>4822</v>
      </c>
      <c r="E73" s="428"/>
      <c r="F73" s="426" t="s">
        <v>236</v>
      </c>
      <c r="G73" s="429">
        <v>2</v>
      </c>
      <c r="H73" s="429"/>
      <c r="I73" s="429">
        <f t="shared" si="50"/>
        <v>0</v>
      </c>
      <c r="J73" s="429">
        <f t="shared" si="51"/>
        <v>0</v>
      </c>
      <c r="K73" s="429">
        <f t="shared" si="52"/>
        <v>0</v>
      </c>
      <c r="L73" s="429">
        <v>0.05082</v>
      </c>
      <c r="M73" s="429">
        <f t="shared" si="53"/>
        <v>0.10164</v>
      </c>
      <c r="N73" s="430" t="s">
        <v>4702</v>
      </c>
      <c r="O73" s="383"/>
      <c r="Z73" s="431">
        <f t="shared" si="54"/>
        <v>0</v>
      </c>
      <c r="AB73" s="431">
        <f t="shared" si="55"/>
        <v>0</v>
      </c>
      <c r="AC73" s="431">
        <f t="shared" si="56"/>
        <v>0</v>
      </c>
      <c r="AD73" s="431">
        <f t="shared" si="57"/>
        <v>0</v>
      </c>
      <c r="AE73" s="431">
        <f t="shared" si="58"/>
        <v>0</v>
      </c>
      <c r="AF73" s="431">
        <f t="shared" si="59"/>
        <v>0</v>
      </c>
      <c r="AG73" s="431">
        <f t="shared" si="60"/>
        <v>0</v>
      </c>
      <c r="AH73" s="431">
        <f t="shared" si="61"/>
        <v>0</v>
      </c>
      <c r="AI73" s="405"/>
      <c r="AJ73" s="429">
        <f t="shared" si="62"/>
        <v>0</v>
      </c>
      <c r="AK73" s="429">
        <f t="shared" si="63"/>
        <v>0</v>
      </c>
      <c r="AL73" s="429">
        <f t="shared" si="64"/>
        <v>0</v>
      </c>
      <c r="AN73" s="431">
        <v>21</v>
      </c>
      <c r="AO73" s="431">
        <f>H73*0.954738462449911</f>
        <v>0</v>
      </c>
      <c r="AP73" s="431">
        <f>H73*(1-0.954738462449911)</f>
        <v>0</v>
      </c>
      <c r="AQ73" s="432" t="s">
        <v>241</v>
      </c>
      <c r="AV73" s="431">
        <f t="shared" si="65"/>
        <v>0</v>
      </c>
      <c r="AW73" s="431">
        <f t="shared" si="66"/>
        <v>0</v>
      </c>
      <c r="AX73" s="431">
        <f t="shared" si="67"/>
        <v>0</v>
      </c>
      <c r="AY73" s="433" t="s">
        <v>4808</v>
      </c>
      <c r="AZ73" s="433" t="s">
        <v>4733</v>
      </c>
      <c r="BA73" s="405" t="s">
        <v>4705</v>
      </c>
      <c r="BC73" s="431">
        <f t="shared" si="68"/>
        <v>0</v>
      </c>
      <c r="BD73" s="431">
        <f t="shared" si="69"/>
        <v>0</v>
      </c>
      <c r="BE73" s="431">
        <v>0</v>
      </c>
      <c r="BF73" s="431">
        <f t="shared" si="70"/>
        <v>0.10164</v>
      </c>
      <c r="BH73" s="429">
        <f t="shared" si="71"/>
        <v>0</v>
      </c>
      <c r="BI73" s="429">
        <f t="shared" si="72"/>
        <v>0</v>
      </c>
      <c r="BJ73" s="429">
        <f t="shared" si="73"/>
        <v>0</v>
      </c>
      <c r="BK73" s="429" t="s">
        <v>813</v>
      </c>
      <c r="BL73" s="431">
        <v>735</v>
      </c>
    </row>
    <row r="74" spans="1:64" ht="12">
      <c r="A74" s="425" t="s">
        <v>1164</v>
      </c>
      <c r="B74" s="426"/>
      <c r="C74" s="426" t="s">
        <v>4823</v>
      </c>
      <c r="D74" s="427" t="s">
        <v>4824</v>
      </c>
      <c r="E74" s="428"/>
      <c r="F74" s="426" t="s">
        <v>236</v>
      </c>
      <c r="G74" s="429">
        <v>10</v>
      </c>
      <c r="H74" s="429"/>
      <c r="I74" s="429">
        <f t="shared" si="50"/>
        <v>0</v>
      </c>
      <c r="J74" s="429">
        <f t="shared" si="51"/>
        <v>0</v>
      </c>
      <c r="K74" s="429">
        <f t="shared" si="52"/>
        <v>0</v>
      </c>
      <c r="L74" s="429">
        <v>0.05808</v>
      </c>
      <c r="M74" s="429">
        <f t="shared" si="53"/>
        <v>0.5808</v>
      </c>
      <c r="N74" s="430" t="s">
        <v>4702</v>
      </c>
      <c r="O74" s="383"/>
      <c r="Z74" s="431">
        <f t="shared" si="54"/>
        <v>0</v>
      </c>
      <c r="AB74" s="431">
        <f t="shared" si="55"/>
        <v>0</v>
      </c>
      <c r="AC74" s="431">
        <f t="shared" si="56"/>
        <v>0</v>
      </c>
      <c r="AD74" s="431">
        <f t="shared" si="57"/>
        <v>0</v>
      </c>
      <c r="AE74" s="431">
        <f t="shared" si="58"/>
        <v>0</v>
      </c>
      <c r="AF74" s="431">
        <f t="shared" si="59"/>
        <v>0</v>
      </c>
      <c r="AG74" s="431">
        <f t="shared" si="60"/>
        <v>0</v>
      </c>
      <c r="AH74" s="431">
        <f t="shared" si="61"/>
        <v>0</v>
      </c>
      <c r="AI74" s="405"/>
      <c r="AJ74" s="429">
        <f t="shared" si="62"/>
        <v>0</v>
      </c>
      <c r="AK74" s="429">
        <f t="shared" si="63"/>
        <v>0</v>
      </c>
      <c r="AL74" s="429">
        <f t="shared" si="64"/>
        <v>0</v>
      </c>
      <c r="AN74" s="431">
        <v>21</v>
      </c>
      <c r="AO74" s="431">
        <f>H74*0.953784458834413</f>
        <v>0</v>
      </c>
      <c r="AP74" s="431">
        <f>H74*(1-0.953784458834413)</f>
        <v>0</v>
      </c>
      <c r="AQ74" s="432" t="s">
        <v>241</v>
      </c>
      <c r="AV74" s="431">
        <f t="shared" si="65"/>
        <v>0</v>
      </c>
      <c r="AW74" s="431">
        <f t="shared" si="66"/>
        <v>0</v>
      </c>
      <c r="AX74" s="431">
        <f t="shared" si="67"/>
        <v>0</v>
      </c>
      <c r="AY74" s="433" t="s">
        <v>4808</v>
      </c>
      <c r="AZ74" s="433" t="s">
        <v>4733</v>
      </c>
      <c r="BA74" s="405" t="s">
        <v>4705</v>
      </c>
      <c r="BC74" s="431">
        <f t="shared" si="68"/>
        <v>0</v>
      </c>
      <c r="BD74" s="431">
        <f t="shared" si="69"/>
        <v>0</v>
      </c>
      <c r="BE74" s="431">
        <v>0</v>
      </c>
      <c r="BF74" s="431">
        <f t="shared" si="70"/>
        <v>0.5808</v>
      </c>
      <c r="BH74" s="429">
        <f t="shared" si="71"/>
        <v>0</v>
      </c>
      <c r="BI74" s="429">
        <f t="shared" si="72"/>
        <v>0</v>
      </c>
      <c r="BJ74" s="429">
        <f t="shared" si="73"/>
        <v>0</v>
      </c>
      <c r="BK74" s="429" t="s">
        <v>813</v>
      </c>
      <c r="BL74" s="431">
        <v>735</v>
      </c>
    </row>
    <row r="75" spans="1:64" ht="12">
      <c r="A75" s="425" t="s">
        <v>1167</v>
      </c>
      <c r="B75" s="426"/>
      <c r="C75" s="426" t="s">
        <v>4825</v>
      </c>
      <c r="D75" s="427" t="s">
        <v>4826</v>
      </c>
      <c r="E75" s="428"/>
      <c r="F75" s="426" t="s">
        <v>236</v>
      </c>
      <c r="G75" s="429">
        <v>7</v>
      </c>
      <c r="H75" s="429"/>
      <c r="I75" s="429">
        <f t="shared" si="50"/>
        <v>0</v>
      </c>
      <c r="J75" s="429">
        <f t="shared" si="51"/>
        <v>0</v>
      </c>
      <c r="K75" s="429">
        <f t="shared" si="52"/>
        <v>0</v>
      </c>
      <c r="L75" s="429">
        <v>0.06534</v>
      </c>
      <c r="M75" s="429">
        <f t="shared" si="53"/>
        <v>0.45737999999999995</v>
      </c>
      <c r="N75" s="430" t="s">
        <v>4702</v>
      </c>
      <c r="O75" s="383"/>
      <c r="Z75" s="431">
        <f t="shared" si="54"/>
        <v>0</v>
      </c>
      <c r="AB75" s="431">
        <f t="shared" si="55"/>
        <v>0</v>
      </c>
      <c r="AC75" s="431">
        <f t="shared" si="56"/>
        <v>0</v>
      </c>
      <c r="AD75" s="431">
        <f t="shared" si="57"/>
        <v>0</v>
      </c>
      <c r="AE75" s="431">
        <f t="shared" si="58"/>
        <v>0</v>
      </c>
      <c r="AF75" s="431">
        <f t="shared" si="59"/>
        <v>0</v>
      </c>
      <c r="AG75" s="431">
        <f t="shared" si="60"/>
        <v>0</v>
      </c>
      <c r="AH75" s="431">
        <f t="shared" si="61"/>
        <v>0</v>
      </c>
      <c r="AI75" s="405"/>
      <c r="AJ75" s="429">
        <f t="shared" si="62"/>
        <v>0</v>
      </c>
      <c r="AK75" s="429">
        <f t="shared" si="63"/>
        <v>0</v>
      </c>
      <c r="AL75" s="429">
        <f t="shared" si="64"/>
        <v>0</v>
      </c>
      <c r="AN75" s="431">
        <v>21</v>
      </c>
      <c r="AO75" s="431">
        <f>H75*0.955438573614372</f>
        <v>0</v>
      </c>
      <c r="AP75" s="431">
        <f>H75*(1-0.955438573614372)</f>
        <v>0</v>
      </c>
      <c r="AQ75" s="432" t="s">
        <v>241</v>
      </c>
      <c r="AV75" s="431">
        <f t="shared" si="65"/>
        <v>0</v>
      </c>
      <c r="AW75" s="431">
        <f t="shared" si="66"/>
        <v>0</v>
      </c>
      <c r="AX75" s="431">
        <f t="shared" si="67"/>
        <v>0</v>
      </c>
      <c r="AY75" s="433" t="s">
        <v>4808</v>
      </c>
      <c r="AZ75" s="433" t="s">
        <v>4733</v>
      </c>
      <c r="BA75" s="405" t="s">
        <v>4705</v>
      </c>
      <c r="BC75" s="431">
        <f t="shared" si="68"/>
        <v>0</v>
      </c>
      <c r="BD75" s="431">
        <f t="shared" si="69"/>
        <v>0</v>
      </c>
      <c r="BE75" s="431">
        <v>0</v>
      </c>
      <c r="BF75" s="431">
        <f t="shared" si="70"/>
        <v>0.45737999999999995</v>
      </c>
      <c r="BH75" s="429">
        <f t="shared" si="71"/>
        <v>0</v>
      </c>
      <c r="BI75" s="429">
        <f t="shared" si="72"/>
        <v>0</v>
      </c>
      <c r="BJ75" s="429">
        <f t="shared" si="73"/>
        <v>0</v>
      </c>
      <c r="BK75" s="429" t="s">
        <v>813</v>
      </c>
      <c r="BL75" s="431">
        <v>735</v>
      </c>
    </row>
    <row r="76" spans="1:64" ht="12">
      <c r="A76" s="425" t="s">
        <v>1173</v>
      </c>
      <c r="B76" s="426"/>
      <c r="C76" s="426" t="s">
        <v>4827</v>
      </c>
      <c r="D76" s="427" t="s">
        <v>4828</v>
      </c>
      <c r="E76" s="428"/>
      <c r="F76" s="426" t="s">
        <v>236</v>
      </c>
      <c r="G76" s="429">
        <v>1</v>
      </c>
      <c r="H76" s="429"/>
      <c r="I76" s="429">
        <f t="shared" si="50"/>
        <v>0</v>
      </c>
      <c r="J76" s="429">
        <f t="shared" si="51"/>
        <v>0</v>
      </c>
      <c r="K76" s="429">
        <f t="shared" si="52"/>
        <v>0</v>
      </c>
      <c r="L76" s="429">
        <v>0.0726</v>
      </c>
      <c r="M76" s="429">
        <f t="shared" si="53"/>
        <v>0.0726</v>
      </c>
      <c r="N76" s="430" t="s">
        <v>4702</v>
      </c>
      <c r="O76" s="383"/>
      <c r="Z76" s="431">
        <f t="shared" si="54"/>
        <v>0</v>
      </c>
      <c r="AB76" s="431">
        <f t="shared" si="55"/>
        <v>0</v>
      </c>
      <c r="AC76" s="431">
        <f t="shared" si="56"/>
        <v>0</v>
      </c>
      <c r="AD76" s="431">
        <f t="shared" si="57"/>
        <v>0</v>
      </c>
      <c r="AE76" s="431">
        <f t="shared" si="58"/>
        <v>0</v>
      </c>
      <c r="AF76" s="431">
        <f t="shared" si="59"/>
        <v>0</v>
      </c>
      <c r="AG76" s="431">
        <f t="shared" si="60"/>
        <v>0</v>
      </c>
      <c r="AH76" s="431">
        <f t="shared" si="61"/>
        <v>0</v>
      </c>
      <c r="AI76" s="405"/>
      <c r="AJ76" s="429">
        <f t="shared" si="62"/>
        <v>0</v>
      </c>
      <c r="AK76" s="429">
        <f t="shared" si="63"/>
        <v>0</v>
      </c>
      <c r="AL76" s="429">
        <f t="shared" si="64"/>
        <v>0</v>
      </c>
      <c r="AN76" s="431">
        <v>21</v>
      </c>
      <c r="AO76" s="431">
        <f>H76*0.958370602032838</f>
        <v>0</v>
      </c>
      <c r="AP76" s="431">
        <f>H76*(1-0.958370602032838)</f>
        <v>0</v>
      </c>
      <c r="AQ76" s="432" t="s">
        <v>241</v>
      </c>
      <c r="AV76" s="431">
        <f t="shared" si="65"/>
        <v>0</v>
      </c>
      <c r="AW76" s="431">
        <f t="shared" si="66"/>
        <v>0</v>
      </c>
      <c r="AX76" s="431">
        <f t="shared" si="67"/>
        <v>0</v>
      </c>
      <c r="AY76" s="433" t="s">
        <v>4808</v>
      </c>
      <c r="AZ76" s="433" t="s">
        <v>4733</v>
      </c>
      <c r="BA76" s="405" t="s">
        <v>4705</v>
      </c>
      <c r="BC76" s="431">
        <f t="shared" si="68"/>
        <v>0</v>
      </c>
      <c r="BD76" s="431">
        <f t="shared" si="69"/>
        <v>0</v>
      </c>
      <c r="BE76" s="431">
        <v>0</v>
      </c>
      <c r="BF76" s="431">
        <f t="shared" si="70"/>
        <v>0.0726</v>
      </c>
      <c r="BH76" s="429">
        <f t="shared" si="71"/>
        <v>0</v>
      </c>
      <c r="BI76" s="429">
        <f t="shared" si="72"/>
        <v>0</v>
      </c>
      <c r="BJ76" s="429">
        <f t="shared" si="73"/>
        <v>0</v>
      </c>
      <c r="BK76" s="429" t="s">
        <v>813</v>
      </c>
      <c r="BL76" s="431">
        <v>735</v>
      </c>
    </row>
    <row r="77" spans="1:64" ht="12">
      <c r="A77" s="425" t="s">
        <v>1177</v>
      </c>
      <c r="B77" s="426"/>
      <c r="C77" s="426" t="s">
        <v>4829</v>
      </c>
      <c r="D77" s="427" t="s">
        <v>4830</v>
      </c>
      <c r="E77" s="428"/>
      <c r="F77" s="426" t="s">
        <v>236</v>
      </c>
      <c r="G77" s="429">
        <v>2</v>
      </c>
      <c r="H77" s="429"/>
      <c r="I77" s="429">
        <f t="shared" si="50"/>
        <v>0</v>
      </c>
      <c r="J77" s="429">
        <f t="shared" si="51"/>
        <v>0</v>
      </c>
      <c r="K77" s="429">
        <f t="shared" si="52"/>
        <v>0</v>
      </c>
      <c r="L77" s="429">
        <v>0.08349</v>
      </c>
      <c r="M77" s="429">
        <f t="shared" si="53"/>
        <v>0.16698</v>
      </c>
      <c r="N77" s="430" t="s">
        <v>4702</v>
      </c>
      <c r="O77" s="383"/>
      <c r="Z77" s="431">
        <f t="shared" si="54"/>
        <v>0</v>
      </c>
      <c r="AB77" s="431">
        <f t="shared" si="55"/>
        <v>0</v>
      </c>
      <c r="AC77" s="431">
        <f t="shared" si="56"/>
        <v>0</v>
      </c>
      <c r="AD77" s="431">
        <f t="shared" si="57"/>
        <v>0</v>
      </c>
      <c r="AE77" s="431">
        <f t="shared" si="58"/>
        <v>0</v>
      </c>
      <c r="AF77" s="431">
        <f t="shared" si="59"/>
        <v>0</v>
      </c>
      <c r="AG77" s="431">
        <f t="shared" si="60"/>
        <v>0</v>
      </c>
      <c r="AH77" s="431">
        <f t="shared" si="61"/>
        <v>0</v>
      </c>
      <c r="AI77" s="405"/>
      <c r="AJ77" s="429">
        <f t="shared" si="62"/>
        <v>0</v>
      </c>
      <c r="AK77" s="429">
        <f t="shared" si="63"/>
        <v>0</v>
      </c>
      <c r="AL77" s="429">
        <f t="shared" si="64"/>
        <v>0</v>
      </c>
      <c r="AN77" s="431">
        <v>21</v>
      </c>
      <c r="AO77" s="431">
        <f>H77*0.958851748251748</f>
        <v>0</v>
      </c>
      <c r="AP77" s="431">
        <f>H77*(1-0.958851748251748)</f>
        <v>0</v>
      </c>
      <c r="AQ77" s="432" t="s">
        <v>241</v>
      </c>
      <c r="AV77" s="431">
        <f t="shared" si="65"/>
        <v>0</v>
      </c>
      <c r="AW77" s="431">
        <f t="shared" si="66"/>
        <v>0</v>
      </c>
      <c r="AX77" s="431">
        <f t="shared" si="67"/>
        <v>0</v>
      </c>
      <c r="AY77" s="433" t="s">
        <v>4808</v>
      </c>
      <c r="AZ77" s="433" t="s">
        <v>4733</v>
      </c>
      <c r="BA77" s="405" t="s">
        <v>4705</v>
      </c>
      <c r="BC77" s="431">
        <f t="shared" si="68"/>
        <v>0</v>
      </c>
      <c r="BD77" s="431">
        <f t="shared" si="69"/>
        <v>0</v>
      </c>
      <c r="BE77" s="431">
        <v>0</v>
      </c>
      <c r="BF77" s="431">
        <f t="shared" si="70"/>
        <v>0.16698</v>
      </c>
      <c r="BH77" s="429">
        <f t="shared" si="71"/>
        <v>0</v>
      </c>
      <c r="BI77" s="429">
        <f t="shared" si="72"/>
        <v>0</v>
      </c>
      <c r="BJ77" s="429">
        <f t="shared" si="73"/>
        <v>0</v>
      </c>
      <c r="BK77" s="429" t="s">
        <v>813</v>
      </c>
      <c r="BL77" s="431">
        <v>735</v>
      </c>
    </row>
    <row r="78" spans="1:64" ht="12">
      <c r="A78" s="425" t="s">
        <v>1180</v>
      </c>
      <c r="B78" s="426"/>
      <c r="C78" s="426" t="s">
        <v>4831</v>
      </c>
      <c r="D78" s="427" t="s">
        <v>4832</v>
      </c>
      <c r="E78" s="428"/>
      <c r="F78" s="426" t="s">
        <v>236</v>
      </c>
      <c r="G78" s="429">
        <v>2</v>
      </c>
      <c r="H78" s="429"/>
      <c r="I78" s="429">
        <f t="shared" si="50"/>
        <v>0</v>
      </c>
      <c r="J78" s="429">
        <f t="shared" si="51"/>
        <v>0</v>
      </c>
      <c r="K78" s="429">
        <f t="shared" si="52"/>
        <v>0</v>
      </c>
      <c r="L78" s="429">
        <v>0.02252</v>
      </c>
      <c r="M78" s="429">
        <f t="shared" si="53"/>
        <v>0.04504</v>
      </c>
      <c r="N78" s="430" t="s">
        <v>4702</v>
      </c>
      <c r="O78" s="383"/>
      <c r="Z78" s="431">
        <f t="shared" si="54"/>
        <v>0</v>
      </c>
      <c r="AB78" s="431">
        <f t="shared" si="55"/>
        <v>0</v>
      </c>
      <c r="AC78" s="431">
        <f t="shared" si="56"/>
        <v>0</v>
      </c>
      <c r="AD78" s="431">
        <f t="shared" si="57"/>
        <v>0</v>
      </c>
      <c r="AE78" s="431">
        <f t="shared" si="58"/>
        <v>0</v>
      </c>
      <c r="AF78" s="431">
        <f t="shared" si="59"/>
        <v>0</v>
      </c>
      <c r="AG78" s="431">
        <f t="shared" si="60"/>
        <v>0</v>
      </c>
      <c r="AH78" s="431">
        <f t="shared" si="61"/>
        <v>0</v>
      </c>
      <c r="AI78" s="405"/>
      <c r="AJ78" s="429">
        <f t="shared" si="62"/>
        <v>0</v>
      </c>
      <c r="AK78" s="429">
        <f t="shared" si="63"/>
        <v>0</v>
      </c>
      <c r="AL78" s="429">
        <f t="shared" si="64"/>
        <v>0</v>
      </c>
      <c r="AN78" s="431">
        <v>21</v>
      </c>
      <c r="AO78" s="431">
        <f>H78*0.938047400611621</f>
        <v>0</v>
      </c>
      <c r="AP78" s="431">
        <f>H78*(1-0.938047400611621)</f>
        <v>0</v>
      </c>
      <c r="AQ78" s="432" t="s">
        <v>241</v>
      </c>
      <c r="AV78" s="431">
        <f t="shared" si="65"/>
        <v>0</v>
      </c>
      <c r="AW78" s="431">
        <f t="shared" si="66"/>
        <v>0</v>
      </c>
      <c r="AX78" s="431">
        <f t="shared" si="67"/>
        <v>0</v>
      </c>
      <c r="AY78" s="433" t="s">
        <v>4808</v>
      </c>
      <c r="AZ78" s="433" t="s">
        <v>4733</v>
      </c>
      <c r="BA78" s="405" t="s">
        <v>4705</v>
      </c>
      <c r="BC78" s="431">
        <f t="shared" si="68"/>
        <v>0</v>
      </c>
      <c r="BD78" s="431">
        <f t="shared" si="69"/>
        <v>0</v>
      </c>
      <c r="BE78" s="431">
        <v>0</v>
      </c>
      <c r="BF78" s="431">
        <f t="shared" si="70"/>
        <v>0.04504</v>
      </c>
      <c r="BH78" s="429">
        <f t="shared" si="71"/>
        <v>0</v>
      </c>
      <c r="BI78" s="429">
        <f t="shared" si="72"/>
        <v>0</v>
      </c>
      <c r="BJ78" s="429">
        <f t="shared" si="73"/>
        <v>0</v>
      </c>
      <c r="BK78" s="429" t="s">
        <v>813</v>
      </c>
      <c r="BL78" s="431">
        <v>735</v>
      </c>
    </row>
    <row r="79" spans="1:64" ht="12">
      <c r="A79" s="425" t="s">
        <v>1183</v>
      </c>
      <c r="B79" s="426"/>
      <c r="C79" s="426" t="s">
        <v>4833</v>
      </c>
      <c r="D79" s="427" t="s">
        <v>4834</v>
      </c>
      <c r="E79" s="428"/>
      <c r="F79" s="426" t="s">
        <v>183</v>
      </c>
      <c r="G79" s="429">
        <v>1.54409</v>
      </c>
      <c r="H79" s="429"/>
      <c r="I79" s="429">
        <f t="shared" si="50"/>
        <v>0</v>
      </c>
      <c r="J79" s="429">
        <f t="shared" si="51"/>
        <v>0</v>
      </c>
      <c r="K79" s="429">
        <f t="shared" si="52"/>
        <v>0</v>
      </c>
      <c r="L79" s="429">
        <v>0</v>
      </c>
      <c r="M79" s="429">
        <f t="shared" si="53"/>
        <v>0</v>
      </c>
      <c r="N79" s="430" t="s">
        <v>4702</v>
      </c>
      <c r="O79" s="383"/>
      <c r="Z79" s="431">
        <f t="shared" si="54"/>
        <v>0</v>
      </c>
      <c r="AB79" s="431">
        <f t="shared" si="55"/>
        <v>0</v>
      </c>
      <c r="AC79" s="431">
        <f t="shared" si="56"/>
        <v>0</v>
      </c>
      <c r="AD79" s="431">
        <f t="shared" si="57"/>
        <v>0</v>
      </c>
      <c r="AE79" s="431">
        <f t="shared" si="58"/>
        <v>0</v>
      </c>
      <c r="AF79" s="431">
        <f t="shared" si="59"/>
        <v>0</v>
      </c>
      <c r="AG79" s="431">
        <f t="shared" si="60"/>
        <v>0</v>
      </c>
      <c r="AH79" s="431">
        <f t="shared" si="61"/>
        <v>0</v>
      </c>
      <c r="AI79" s="405"/>
      <c r="AJ79" s="429">
        <f t="shared" si="62"/>
        <v>0</v>
      </c>
      <c r="AK79" s="429">
        <f t="shared" si="63"/>
        <v>0</v>
      </c>
      <c r="AL79" s="429">
        <f t="shared" si="64"/>
        <v>0</v>
      </c>
      <c r="AN79" s="431">
        <v>21</v>
      </c>
      <c r="AO79" s="431">
        <f>H79*0</f>
        <v>0</v>
      </c>
      <c r="AP79" s="431">
        <f>H79*(1-0)</f>
        <v>0</v>
      </c>
      <c r="AQ79" s="432" t="s">
        <v>200</v>
      </c>
      <c r="AV79" s="431">
        <f t="shared" si="65"/>
        <v>0</v>
      </c>
      <c r="AW79" s="431">
        <f t="shared" si="66"/>
        <v>0</v>
      </c>
      <c r="AX79" s="431">
        <f t="shared" si="67"/>
        <v>0</v>
      </c>
      <c r="AY79" s="433" t="s">
        <v>4808</v>
      </c>
      <c r="AZ79" s="433" t="s">
        <v>4733</v>
      </c>
      <c r="BA79" s="405" t="s">
        <v>4705</v>
      </c>
      <c r="BC79" s="431">
        <f t="shared" si="68"/>
        <v>0</v>
      </c>
      <c r="BD79" s="431">
        <f t="shared" si="69"/>
        <v>0</v>
      </c>
      <c r="BE79" s="431">
        <v>0</v>
      </c>
      <c r="BF79" s="431">
        <f t="shared" si="70"/>
        <v>0</v>
      </c>
      <c r="BH79" s="429">
        <f t="shared" si="71"/>
        <v>0</v>
      </c>
      <c r="BI79" s="429">
        <f t="shared" si="72"/>
        <v>0</v>
      </c>
      <c r="BJ79" s="429">
        <f t="shared" si="73"/>
        <v>0</v>
      </c>
      <c r="BK79" s="429" t="s">
        <v>813</v>
      </c>
      <c r="BL79" s="431">
        <v>735</v>
      </c>
    </row>
    <row r="80" spans="1:47" ht="12">
      <c r="A80" s="438"/>
      <c r="B80" s="439"/>
      <c r="C80" s="439" t="s">
        <v>2710</v>
      </c>
      <c r="D80" s="440" t="s">
        <v>4835</v>
      </c>
      <c r="E80" s="441"/>
      <c r="F80" s="442" t="s">
        <v>4598</v>
      </c>
      <c r="G80" s="442" t="s">
        <v>4598</v>
      </c>
      <c r="H80" s="442" t="s">
        <v>4598</v>
      </c>
      <c r="I80" s="424">
        <f>SUM(I81:I83)</f>
        <v>0</v>
      </c>
      <c r="J80" s="424">
        <f>SUM(J81:J83)</f>
        <v>0</v>
      </c>
      <c r="K80" s="424">
        <f>SUM(K81:K83)</f>
        <v>0</v>
      </c>
      <c r="L80" s="405"/>
      <c r="M80" s="424">
        <f>SUM(M81:M83)</f>
        <v>0</v>
      </c>
      <c r="N80" s="443"/>
      <c r="O80" s="383"/>
      <c r="AI80" s="405"/>
      <c r="AS80" s="424">
        <f>SUM(AJ81:AJ83)</f>
        <v>0</v>
      </c>
      <c r="AT80" s="424">
        <f>SUM(AK81:AK83)</f>
        <v>0</v>
      </c>
      <c r="AU80" s="424">
        <f>SUM(AL81:AL83)</f>
        <v>0</v>
      </c>
    </row>
    <row r="81" spans="1:64" ht="12">
      <c r="A81" s="425" t="s">
        <v>1185</v>
      </c>
      <c r="B81" s="426"/>
      <c r="C81" s="426" t="s">
        <v>4836</v>
      </c>
      <c r="D81" s="427" t="s">
        <v>4837</v>
      </c>
      <c r="E81" s="428"/>
      <c r="F81" s="426" t="s">
        <v>4838</v>
      </c>
      <c r="G81" s="429">
        <v>24</v>
      </c>
      <c r="H81" s="429"/>
      <c r="I81" s="429">
        <f>G81*AO81</f>
        <v>0</v>
      </c>
      <c r="J81" s="429">
        <f>G81*AP81</f>
        <v>0</v>
      </c>
      <c r="K81" s="429">
        <f>G81*H81</f>
        <v>0</v>
      </c>
      <c r="L81" s="429">
        <v>0</v>
      </c>
      <c r="M81" s="429">
        <f>G81*L81</f>
        <v>0</v>
      </c>
      <c r="N81" s="430" t="s">
        <v>4702</v>
      </c>
      <c r="O81" s="383"/>
      <c r="Z81" s="431">
        <f>IF(AQ81="5",BJ81,0)</f>
        <v>0</v>
      </c>
      <c r="AB81" s="431">
        <f>IF(AQ81="1",BH81,0)</f>
        <v>0</v>
      </c>
      <c r="AC81" s="431">
        <f>IF(AQ81="1",BI81,0)</f>
        <v>0</v>
      </c>
      <c r="AD81" s="431">
        <f>IF(AQ81="7",BH81,0)</f>
        <v>0</v>
      </c>
      <c r="AE81" s="431">
        <f>IF(AQ81="7",BI81,0)</f>
        <v>0</v>
      </c>
      <c r="AF81" s="431">
        <f>IF(AQ81="2",BH81,0)</f>
        <v>0</v>
      </c>
      <c r="AG81" s="431">
        <f>IF(AQ81="2",BI81,0)</f>
        <v>0</v>
      </c>
      <c r="AH81" s="431">
        <f>IF(AQ81="0",BJ81,0)</f>
        <v>0</v>
      </c>
      <c r="AI81" s="405"/>
      <c r="AJ81" s="429">
        <f>IF(AN81=0,K81,0)</f>
        <v>0</v>
      </c>
      <c r="AK81" s="429">
        <f>IF(AN81=15,K81,0)</f>
        <v>0</v>
      </c>
      <c r="AL81" s="429">
        <f>IF(AN81=21,K81,0)</f>
        <v>0</v>
      </c>
      <c r="AN81" s="431">
        <v>21</v>
      </c>
      <c r="AO81" s="431">
        <f>H81*0</f>
        <v>0</v>
      </c>
      <c r="AP81" s="431">
        <f>H81*(1-0)</f>
        <v>0</v>
      </c>
      <c r="AQ81" s="432" t="s">
        <v>85</v>
      </c>
      <c r="AV81" s="431">
        <f>AW81+AX81</f>
        <v>0</v>
      </c>
      <c r="AW81" s="431">
        <f>G81*AO81</f>
        <v>0</v>
      </c>
      <c r="AX81" s="431">
        <f>G81*AP81</f>
        <v>0</v>
      </c>
      <c r="AY81" s="433" t="s">
        <v>4839</v>
      </c>
      <c r="AZ81" s="433" t="s">
        <v>4840</v>
      </c>
      <c r="BA81" s="405" t="s">
        <v>4705</v>
      </c>
      <c r="BC81" s="431">
        <f>AW81+AX81</f>
        <v>0</v>
      </c>
      <c r="BD81" s="431">
        <f>H81/(100-BE81)*100</f>
        <v>0</v>
      </c>
      <c r="BE81" s="431">
        <v>0</v>
      </c>
      <c r="BF81" s="431">
        <f>M81</f>
        <v>0</v>
      </c>
      <c r="BH81" s="429">
        <f>G81*AO81</f>
        <v>0</v>
      </c>
      <c r="BI81" s="429">
        <f>G81*AP81</f>
        <v>0</v>
      </c>
      <c r="BJ81" s="429">
        <f>G81*H81</f>
        <v>0</v>
      </c>
      <c r="BK81" s="429" t="s">
        <v>813</v>
      </c>
      <c r="BL81" s="431">
        <v>90</v>
      </c>
    </row>
    <row r="82" spans="1:15" ht="12">
      <c r="A82" s="383"/>
      <c r="C82" s="434" t="s">
        <v>4706</v>
      </c>
      <c r="D82" s="435" t="s">
        <v>4841</v>
      </c>
      <c r="E82" s="436"/>
      <c r="F82" s="436"/>
      <c r="G82" s="436"/>
      <c r="H82" s="436"/>
      <c r="I82" s="436"/>
      <c r="J82" s="436"/>
      <c r="K82" s="436"/>
      <c r="L82" s="436"/>
      <c r="M82" s="436"/>
      <c r="N82" s="437"/>
      <c r="O82" s="383"/>
    </row>
    <row r="83" spans="1:64" ht="12">
      <c r="A83" s="425" t="s">
        <v>1188</v>
      </c>
      <c r="B83" s="426"/>
      <c r="C83" s="426" t="s">
        <v>4842</v>
      </c>
      <c r="D83" s="427" t="s">
        <v>4843</v>
      </c>
      <c r="E83" s="428"/>
      <c r="F83" s="426" t="s">
        <v>4838</v>
      </c>
      <c r="G83" s="429">
        <v>8</v>
      </c>
      <c r="H83" s="429"/>
      <c r="I83" s="429">
        <f>G83*AO83</f>
        <v>0</v>
      </c>
      <c r="J83" s="429">
        <f>G83*AP83</f>
        <v>0</v>
      </c>
      <c r="K83" s="429">
        <f>G83*H83</f>
        <v>0</v>
      </c>
      <c r="L83" s="429">
        <v>0</v>
      </c>
      <c r="M83" s="429">
        <f>G83*L83</f>
        <v>0</v>
      </c>
      <c r="N83" s="430" t="s">
        <v>4702</v>
      </c>
      <c r="O83" s="383"/>
      <c r="Z83" s="431">
        <f>IF(AQ83="5",BJ83,0)</f>
        <v>0</v>
      </c>
      <c r="AB83" s="431">
        <f>IF(AQ83="1",BH83,0)</f>
        <v>0</v>
      </c>
      <c r="AC83" s="431">
        <f>IF(AQ83="1",BI83,0)</f>
        <v>0</v>
      </c>
      <c r="AD83" s="431">
        <f>IF(AQ83="7",BH83,0)</f>
        <v>0</v>
      </c>
      <c r="AE83" s="431">
        <f>IF(AQ83="7",BI83,0)</f>
        <v>0</v>
      </c>
      <c r="AF83" s="431">
        <f>IF(AQ83="2",BH83,0)</f>
        <v>0</v>
      </c>
      <c r="AG83" s="431">
        <f>IF(AQ83="2",BI83,0)</f>
        <v>0</v>
      </c>
      <c r="AH83" s="431">
        <f>IF(AQ83="0",BJ83,0)</f>
        <v>0</v>
      </c>
      <c r="AI83" s="405"/>
      <c r="AJ83" s="429">
        <f>IF(AN83=0,K83,0)</f>
        <v>0</v>
      </c>
      <c r="AK83" s="429">
        <f>IF(AN83=15,K83,0)</f>
        <v>0</v>
      </c>
      <c r="AL83" s="429">
        <f>IF(AN83=21,K83,0)</f>
        <v>0</v>
      </c>
      <c r="AN83" s="431">
        <v>21</v>
      </c>
      <c r="AO83" s="431">
        <f>H83*0</f>
        <v>0</v>
      </c>
      <c r="AP83" s="431">
        <f>H83*(1-0)</f>
        <v>0</v>
      </c>
      <c r="AQ83" s="432" t="s">
        <v>85</v>
      </c>
      <c r="AV83" s="431">
        <f>AW83+AX83</f>
        <v>0</v>
      </c>
      <c r="AW83" s="431">
        <f>G83*AO83</f>
        <v>0</v>
      </c>
      <c r="AX83" s="431">
        <f>G83*AP83</f>
        <v>0</v>
      </c>
      <c r="AY83" s="433" t="s">
        <v>4839</v>
      </c>
      <c r="AZ83" s="433" t="s">
        <v>4840</v>
      </c>
      <c r="BA83" s="405" t="s">
        <v>4705</v>
      </c>
      <c r="BC83" s="431">
        <f>AW83+AX83</f>
        <v>0</v>
      </c>
      <c r="BD83" s="431">
        <f>H83/(100-BE83)*100</f>
        <v>0</v>
      </c>
      <c r="BE83" s="431">
        <v>0</v>
      </c>
      <c r="BF83" s="431">
        <f>M83</f>
        <v>0</v>
      </c>
      <c r="BH83" s="429">
        <f>G83*AO83</f>
        <v>0</v>
      </c>
      <c r="BI83" s="429">
        <f>G83*AP83</f>
        <v>0</v>
      </c>
      <c r="BJ83" s="429">
        <f>G83*H83</f>
        <v>0</v>
      </c>
      <c r="BK83" s="429" t="s">
        <v>813</v>
      </c>
      <c r="BL83" s="431">
        <v>90</v>
      </c>
    </row>
    <row r="84" spans="1:15" ht="12">
      <c r="A84" s="444"/>
      <c r="B84" s="445"/>
      <c r="C84" s="446" t="s">
        <v>4706</v>
      </c>
      <c r="D84" s="447" t="s">
        <v>4844</v>
      </c>
      <c r="E84" s="448"/>
      <c r="F84" s="448"/>
      <c r="G84" s="448"/>
      <c r="H84" s="448"/>
      <c r="I84" s="448"/>
      <c r="J84" s="448"/>
      <c r="K84" s="448"/>
      <c r="L84" s="448"/>
      <c r="M84" s="448"/>
      <c r="N84" s="449"/>
      <c r="O84" s="383"/>
    </row>
    <row r="85" spans="1:14" ht="12">
      <c r="A85" s="450"/>
      <c r="B85" s="450"/>
      <c r="C85" s="450"/>
      <c r="D85" s="450"/>
      <c r="E85" s="450"/>
      <c r="F85" s="450"/>
      <c r="G85" s="450"/>
      <c r="H85" s="450"/>
      <c r="I85" s="451" t="s">
        <v>4845</v>
      </c>
      <c r="J85" s="379"/>
      <c r="K85" s="452">
        <f>K12+K28+K42+K56+K65+K80</f>
        <v>0</v>
      </c>
      <c r="L85" s="450"/>
      <c r="M85" s="450"/>
      <c r="N85" s="450"/>
    </row>
    <row r="86" ht="11.25" customHeight="1">
      <c r="A86" s="453" t="s">
        <v>41</v>
      </c>
    </row>
    <row r="87" spans="1:14" ht="12">
      <c r="A87" s="389"/>
      <c r="B87" s="385"/>
      <c r="C87" s="385"/>
      <c r="D87" s="385"/>
      <c r="E87" s="385"/>
      <c r="F87" s="385"/>
      <c r="G87" s="385"/>
      <c r="H87" s="385"/>
      <c r="I87" s="385"/>
      <c r="J87" s="385"/>
      <c r="K87" s="385"/>
      <c r="L87" s="385"/>
      <c r="M87" s="385"/>
      <c r="N87" s="385"/>
    </row>
  </sheetData>
  <mergeCells count="104">
    <mergeCell ref="A87:N87"/>
    <mergeCell ref="D80:E80"/>
    <mergeCell ref="D81:E81"/>
    <mergeCell ref="D82:N82"/>
    <mergeCell ref="D83:E83"/>
    <mergeCell ref="D84:N84"/>
    <mergeCell ref="I85:J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N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D26:N26"/>
    <mergeCell ref="D27:E27"/>
    <mergeCell ref="D28:E28"/>
    <mergeCell ref="D29:E29"/>
    <mergeCell ref="D30:E30"/>
    <mergeCell ref="D31:E31"/>
    <mergeCell ref="D20:N20"/>
    <mergeCell ref="D21:E21"/>
    <mergeCell ref="D22:N22"/>
    <mergeCell ref="D23:E23"/>
    <mergeCell ref="D24:N24"/>
    <mergeCell ref="D25:E25"/>
    <mergeCell ref="D14:N14"/>
    <mergeCell ref="D15:E15"/>
    <mergeCell ref="D16:N16"/>
    <mergeCell ref="D17:E17"/>
    <mergeCell ref="D18:N18"/>
    <mergeCell ref="D19:E19"/>
    <mergeCell ref="D10:E10"/>
    <mergeCell ref="I10:K10"/>
    <mergeCell ref="L10:M10"/>
    <mergeCell ref="D11:E11"/>
    <mergeCell ref="D12:E12"/>
    <mergeCell ref="D13:E13"/>
    <mergeCell ref="A8:C9"/>
    <mergeCell ref="D8:E9"/>
    <mergeCell ref="F8:G9"/>
    <mergeCell ref="H8:H9"/>
    <mergeCell ref="I8:I9"/>
    <mergeCell ref="J8:N9"/>
    <mergeCell ref="A6:C7"/>
    <mergeCell ref="D6:E7"/>
    <mergeCell ref="F6:G7"/>
    <mergeCell ref="H6:H7"/>
    <mergeCell ref="I6:I7"/>
    <mergeCell ref="J6:N7"/>
    <mergeCell ref="A4:C5"/>
    <mergeCell ref="D4:E5"/>
    <mergeCell ref="F4:G5"/>
    <mergeCell ref="H4:H5"/>
    <mergeCell ref="I4:I5"/>
    <mergeCell ref="J4:N5"/>
    <mergeCell ref="A1:N1"/>
    <mergeCell ref="A2:C3"/>
    <mergeCell ref="D2:E3"/>
    <mergeCell ref="F2:G3"/>
    <mergeCell ref="H2:H3"/>
    <mergeCell ref="I2:I3"/>
    <mergeCell ref="J2:N3"/>
  </mergeCells>
  <printOptions/>
  <pageMargins left="0.394" right="0.394" top="0.591" bottom="0.591" header="0.5" footer="0.5"/>
  <pageSetup fitToHeight="0" fitToWidth="1" horizontalDpi="600" verticalDpi="600" orientation="landscape" paperSize="9" scale="51"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135</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3854</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ROUND(J82,2)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ROUND((SUM(BE82:BE96)),2)</f>
        <v>0</v>
      </c>
      <c r="I33" s="90">
        <v>0.21</v>
      </c>
      <c r="J33" s="89">
        <f>ROUND(((SUM(BE82:BE96))*I33),2)</f>
        <v>0</v>
      </c>
      <c r="L33" s="33"/>
    </row>
    <row r="34" spans="2:12" s="1" customFormat="1" ht="14.45" customHeight="1">
      <c r="B34" s="33"/>
      <c r="E34" s="28" t="s">
        <v>49</v>
      </c>
      <c r="F34" s="89">
        <f>ROUND((SUM(BF82:BF96)),2)</f>
        <v>0</v>
      </c>
      <c r="I34" s="90">
        <v>0.15</v>
      </c>
      <c r="J34" s="89">
        <f>ROUND(((SUM(BF82:BF96))*I34),2)</f>
        <v>0</v>
      </c>
      <c r="L34" s="33"/>
    </row>
    <row r="35" spans="2:12" s="1" customFormat="1" ht="14.45" customHeight="1" hidden="1">
      <c r="B35" s="33"/>
      <c r="E35" s="28" t="s">
        <v>50</v>
      </c>
      <c r="F35" s="89">
        <f>ROUND((SUM(BG82:BG96)),2)</f>
        <v>0</v>
      </c>
      <c r="I35" s="90">
        <v>0.21</v>
      </c>
      <c r="J35" s="89">
        <f>0</f>
        <v>0</v>
      </c>
      <c r="L35" s="33"/>
    </row>
    <row r="36" spans="2:12" s="1" customFormat="1" ht="14.45" customHeight="1" hidden="1">
      <c r="B36" s="33"/>
      <c r="E36" s="28" t="s">
        <v>51</v>
      </c>
      <c r="F36" s="89">
        <f>ROUND((SUM(BH82:BH96)),2)</f>
        <v>0</v>
      </c>
      <c r="I36" s="90">
        <v>0.15</v>
      </c>
      <c r="J36" s="89">
        <f>0</f>
        <v>0</v>
      </c>
      <c r="L36" s="33"/>
    </row>
    <row r="37" spans="2:12" s="1" customFormat="1" ht="14.45" customHeight="1" hidden="1">
      <c r="B37" s="33"/>
      <c r="E37" s="28" t="s">
        <v>52</v>
      </c>
      <c r="F37" s="89">
        <f>ROUND((SUM(BI82:BI96)),2)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SO 3 - elektroinstalace</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J82</f>
        <v>0</v>
      </c>
      <c r="L59" s="33"/>
      <c r="AU59" s="18" t="s">
        <v>152</v>
      </c>
    </row>
    <row r="60" spans="2:12" s="8" customFormat="1" ht="24.95" customHeight="1">
      <c r="B60" s="100"/>
      <c r="D60" s="101" t="s">
        <v>155</v>
      </c>
      <c r="E60" s="102"/>
      <c r="F60" s="102"/>
      <c r="G60" s="102"/>
      <c r="H60" s="102"/>
      <c r="I60" s="102"/>
      <c r="J60" s="103">
        <f>J83</f>
        <v>0</v>
      </c>
      <c r="L60" s="100"/>
    </row>
    <row r="61" spans="2:12" s="9" customFormat="1" ht="19.9" customHeight="1">
      <c r="B61" s="104"/>
      <c r="D61" s="105" t="s">
        <v>159</v>
      </c>
      <c r="E61" s="106"/>
      <c r="F61" s="106"/>
      <c r="G61" s="106"/>
      <c r="H61" s="106"/>
      <c r="I61" s="106"/>
      <c r="J61" s="107">
        <f>J84</f>
        <v>0</v>
      </c>
      <c r="L61" s="104"/>
    </row>
    <row r="62" spans="2:12" s="8" customFormat="1" ht="24.95" customHeight="1">
      <c r="B62" s="100"/>
      <c r="D62" s="101" t="s">
        <v>161</v>
      </c>
      <c r="E62" s="102"/>
      <c r="F62" s="102"/>
      <c r="G62" s="102"/>
      <c r="H62" s="102"/>
      <c r="I62" s="102"/>
      <c r="J62" s="103">
        <f>J91</f>
        <v>0</v>
      </c>
      <c r="L62" s="100"/>
    </row>
    <row r="63" spans="2:12" s="1" customFormat="1" ht="21.75" customHeight="1">
      <c r="B63" s="33"/>
      <c r="L63" s="33"/>
    </row>
    <row r="64" spans="2:12" s="1" customFormat="1" ht="6.95" customHeight="1">
      <c r="B64" s="42"/>
      <c r="C64" s="43"/>
      <c r="D64" s="43"/>
      <c r="E64" s="43"/>
      <c r="F64" s="43"/>
      <c r="G64" s="43"/>
      <c r="H64" s="43"/>
      <c r="I64" s="43"/>
      <c r="J64" s="43"/>
      <c r="K64" s="43"/>
      <c r="L64" s="33"/>
    </row>
    <row r="68" spans="2:12" s="1" customFormat="1" ht="6.95" customHeight="1">
      <c r="B68" s="44"/>
      <c r="C68" s="45"/>
      <c r="D68" s="45"/>
      <c r="E68" s="45"/>
      <c r="F68" s="45"/>
      <c r="G68" s="45"/>
      <c r="H68" s="45"/>
      <c r="I68" s="45"/>
      <c r="J68" s="45"/>
      <c r="K68" s="45"/>
      <c r="L68" s="33"/>
    </row>
    <row r="69" spans="2:12" s="1" customFormat="1" ht="24.95" customHeight="1">
      <c r="B69" s="33"/>
      <c r="C69" s="22" t="s">
        <v>162</v>
      </c>
      <c r="L69" s="33"/>
    </row>
    <row r="70" spans="2:12" s="1" customFormat="1" ht="6.95" customHeight="1">
      <c r="B70" s="33"/>
      <c r="L70" s="33"/>
    </row>
    <row r="71" spans="2:12" s="1" customFormat="1" ht="12" customHeight="1">
      <c r="B71" s="33"/>
      <c r="C71" s="28" t="s">
        <v>17</v>
      </c>
      <c r="L71" s="33"/>
    </row>
    <row r="72" spans="2:12" s="1" customFormat="1" ht="16.5" customHeight="1">
      <c r="B72" s="33"/>
      <c r="E72" s="315" t="str">
        <f>E7</f>
        <v>ZŠ P. HOLÉHO - PŘESTAVBA PLAVECKÉHO PAVILONU</v>
      </c>
      <c r="F72" s="316"/>
      <c r="G72" s="316"/>
      <c r="H72" s="316"/>
      <c r="L72" s="33"/>
    </row>
    <row r="73" spans="2:12" s="1" customFormat="1" ht="12" customHeight="1">
      <c r="B73" s="33"/>
      <c r="C73" s="28" t="s">
        <v>146</v>
      </c>
      <c r="L73" s="33"/>
    </row>
    <row r="74" spans="2:12" s="1" customFormat="1" ht="16.5" customHeight="1">
      <c r="B74" s="33"/>
      <c r="E74" s="281" t="str">
        <f>E9</f>
        <v>SO 3 - elektroinstalace</v>
      </c>
      <c r="F74" s="317"/>
      <c r="G74" s="317"/>
      <c r="H74" s="317"/>
      <c r="L74" s="33"/>
    </row>
    <row r="75" spans="2:12" s="1" customFormat="1" ht="6.95" customHeight="1">
      <c r="B75" s="33"/>
      <c r="L75" s="33"/>
    </row>
    <row r="76" spans="2:12" s="1" customFormat="1" ht="12" customHeight="1">
      <c r="B76" s="33"/>
      <c r="C76" s="28" t="s">
        <v>21</v>
      </c>
      <c r="F76" s="26" t="str">
        <f>F12</f>
        <v>Prokopa Holého 2632, Louny, 440 01</v>
      </c>
      <c r="I76" s="28" t="s">
        <v>23</v>
      </c>
      <c r="J76" s="50" t="str">
        <f>IF(J12="","",J12)</f>
        <v>21. 9. 2022</v>
      </c>
      <c r="L76" s="33"/>
    </row>
    <row r="77" spans="2:12" s="1" customFormat="1" ht="6.95" customHeight="1">
      <c r="B77" s="33"/>
      <c r="L77" s="33"/>
    </row>
    <row r="78" spans="2:12" s="1" customFormat="1" ht="15.2" customHeight="1">
      <c r="B78" s="33"/>
      <c r="C78" s="28" t="s">
        <v>25</v>
      </c>
      <c r="F78" s="26" t="str">
        <f>E15</f>
        <v>Město Louny</v>
      </c>
      <c r="I78" s="28" t="s">
        <v>32</v>
      </c>
      <c r="J78" s="31" t="str">
        <f>E21</f>
        <v>RYSIK Design s.r.o.</v>
      </c>
      <c r="L78" s="33"/>
    </row>
    <row r="79" spans="2:12" s="1" customFormat="1" ht="25.7" customHeight="1">
      <c r="B79" s="33"/>
      <c r="C79" s="28" t="s">
        <v>30</v>
      </c>
      <c r="F79" s="26" t="str">
        <f>IF(E18="","",E18)</f>
        <v>Vyplň údaj</v>
      </c>
      <c r="I79" s="28" t="s">
        <v>37</v>
      </c>
      <c r="J79" s="31" t="str">
        <f>E24</f>
        <v>ing. Kateřina Tumpachová</v>
      </c>
      <c r="L79" s="33"/>
    </row>
    <row r="80" spans="2:12" s="1" customFormat="1" ht="10.35" customHeight="1">
      <c r="B80" s="33"/>
      <c r="L80" s="33"/>
    </row>
    <row r="81" spans="2:20" s="10" customFormat="1" ht="29.25" customHeight="1">
      <c r="B81" s="108"/>
      <c r="C81" s="109" t="s">
        <v>163</v>
      </c>
      <c r="D81" s="110" t="s">
        <v>62</v>
      </c>
      <c r="E81" s="110" t="s">
        <v>58</v>
      </c>
      <c r="F81" s="110" t="s">
        <v>59</v>
      </c>
      <c r="G81" s="110" t="s">
        <v>164</v>
      </c>
      <c r="H81" s="110" t="s">
        <v>165</v>
      </c>
      <c r="I81" s="110" t="s">
        <v>166</v>
      </c>
      <c r="J81" s="110" t="s">
        <v>151</v>
      </c>
      <c r="K81" s="111" t="s">
        <v>167</v>
      </c>
      <c r="L81" s="108"/>
      <c r="M81" s="57" t="s">
        <v>3</v>
      </c>
      <c r="N81" s="58" t="s">
        <v>47</v>
      </c>
      <c r="O81" s="58" t="s">
        <v>168</v>
      </c>
      <c r="P81" s="58" t="s">
        <v>169</v>
      </c>
      <c r="Q81" s="58" t="s">
        <v>170</v>
      </c>
      <c r="R81" s="58" t="s">
        <v>171</v>
      </c>
      <c r="S81" s="58" t="s">
        <v>172</v>
      </c>
      <c r="T81" s="59" t="s">
        <v>173</v>
      </c>
    </row>
    <row r="82" spans="2:63" s="1" customFormat="1" ht="22.9" customHeight="1">
      <c r="B82" s="33"/>
      <c r="C82" s="62" t="s">
        <v>174</v>
      </c>
      <c r="J82" s="112">
        <f>BK82</f>
        <v>0</v>
      </c>
      <c r="L82" s="33"/>
      <c r="M82" s="60"/>
      <c r="N82" s="51"/>
      <c r="O82" s="51"/>
      <c r="P82" s="113">
        <f>P83+P91</f>
        <v>0</v>
      </c>
      <c r="Q82" s="51"/>
      <c r="R82" s="113">
        <f>R83+R91</f>
        <v>0</v>
      </c>
      <c r="S82" s="51"/>
      <c r="T82" s="114">
        <f>T83+T91</f>
        <v>0</v>
      </c>
      <c r="AT82" s="18" t="s">
        <v>76</v>
      </c>
      <c r="AU82" s="18" t="s">
        <v>152</v>
      </c>
      <c r="BK82" s="115">
        <f>BK83+BK91</f>
        <v>0</v>
      </c>
    </row>
    <row r="83" spans="2:63" s="11" customFormat="1" ht="25.9" customHeight="1">
      <c r="B83" s="116"/>
      <c r="D83" s="117" t="s">
        <v>76</v>
      </c>
      <c r="E83" s="118" t="s">
        <v>229</v>
      </c>
      <c r="F83" s="118" t="s">
        <v>230</v>
      </c>
      <c r="I83" s="119"/>
      <c r="J83" s="120">
        <f>BK83</f>
        <v>0</v>
      </c>
      <c r="L83" s="116"/>
      <c r="M83" s="121"/>
      <c r="P83" s="122">
        <f>P84</f>
        <v>0</v>
      </c>
      <c r="R83" s="122">
        <f>R84</f>
        <v>0</v>
      </c>
      <c r="T83" s="123">
        <f>T84</f>
        <v>0</v>
      </c>
      <c r="AR83" s="117" t="s">
        <v>87</v>
      </c>
      <c r="AT83" s="124" t="s">
        <v>76</v>
      </c>
      <c r="AU83" s="124" t="s">
        <v>77</v>
      </c>
      <c r="AY83" s="117" t="s">
        <v>177</v>
      </c>
      <c r="BK83" s="125">
        <f>BK84</f>
        <v>0</v>
      </c>
    </row>
    <row r="84" spans="2:63" s="11" customFormat="1" ht="22.9" customHeight="1">
      <c r="B84" s="116"/>
      <c r="D84" s="117" t="s">
        <v>76</v>
      </c>
      <c r="E84" s="126" t="s">
        <v>295</v>
      </c>
      <c r="F84" s="126" t="s">
        <v>296</v>
      </c>
      <c r="I84" s="119"/>
      <c r="J84" s="127">
        <f>BK84</f>
        <v>0</v>
      </c>
      <c r="L84" s="116"/>
      <c r="M84" s="121"/>
      <c r="P84" s="122">
        <f>SUM(P85:P90)</f>
        <v>0</v>
      </c>
      <c r="R84" s="122">
        <f>SUM(R85:R90)</f>
        <v>0</v>
      </c>
      <c r="T84" s="123">
        <f>SUM(T85:T90)</f>
        <v>0</v>
      </c>
      <c r="AR84" s="117" t="s">
        <v>87</v>
      </c>
      <c r="AT84" s="124" t="s">
        <v>76</v>
      </c>
      <c r="AU84" s="124" t="s">
        <v>85</v>
      </c>
      <c r="AY84" s="117" t="s">
        <v>177</v>
      </c>
      <c r="BK84" s="125">
        <f>SUM(BK85:BK90)</f>
        <v>0</v>
      </c>
    </row>
    <row r="85" spans="2:65" s="1" customFormat="1" ht="16.5" customHeight="1">
      <c r="B85" s="128"/>
      <c r="C85" s="129" t="s">
        <v>85</v>
      </c>
      <c r="D85" s="129" t="s">
        <v>180</v>
      </c>
      <c r="E85" s="130" t="s">
        <v>3855</v>
      </c>
      <c r="F85" s="131" t="s">
        <v>3856</v>
      </c>
      <c r="G85" s="132" t="s">
        <v>243</v>
      </c>
      <c r="H85" s="133">
        <v>1</v>
      </c>
      <c r="I85" s="134"/>
      <c r="J85" s="135">
        <f>ROUND(I85*H85,2)</f>
        <v>0</v>
      </c>
      <c r="K85" s="131" t="s">
        <v>3</v>
      </c>
      <c r="L85" s="33"/>
      <c r="M85" s="136" t="s">
        <v>3</v>
      </c>
      <c r="N85" s="137" t="s">
        <v>48</v>
      </c>
      <c r="P85" s="138">
        <f>O85*H85</f>
        <v>0</v>
      </c>
      <c r="Q85" s="138">
        <v>0</v>
      </c>
      <c r="R85" s="138">
        <f>Q85*H85</f>
        <v>0</v>
      </c>
      <c r="S85" s="138">
        <v>0</v>
      </c>
      <c r="T85" s="139">
        <f>S85*H85</f>
        <v>0</v>
      </c>
      <c r="AR85" s="140" t="s">
        <v>237</v>
      </c>
      <c r="AT85" s="140" t="s">
        <v>180</v>
      </c>
      <c r="AU85" s="140" t="s">
        <v>87</v>
      </c>
      <c r="AY85" s="18" t="s">
        <v>177</v>
      </c>
      <c r="BE85" s="141">
        <f>IF(N85="základní",J85,0)</f>
        <v>0</v>
      </c>
      <c r="BF85" s="141">
        <f>IF(N85="snížená",J85,0)</f>
        <v>0</v>
      </c>
      <c r="BG85" s="141">
        <f>IF(N85="zákl. přenesená",J85,0)</f>
        <v>0</v>
      </c>
      <c r="BH85" s="141">
        <f>IF(N85="sníž. přenesená",J85,0)</f>
        <v>0</v>
      </c>
      <c r="BI85" s="141">
        <f>IF(N85="nulová",J85,0)</f>
        <v>0</v>
      </c>
      <c r="BJ85" s="18" t="s">
        <v>85</v>
      </c>
      <c r="BK85" s="141">
        <f>ROUND(I85*H85,2)</f>
        <v>0</v>
      </c>
      <c r="BL85" s="18" t="s">
        <v>237</v>
      </c>
      <c r="BM85" s="140" t="s">
        <v>3857</v>
      </c>
    </row>
    <row r="86" spans="2:47" s="1" customFormat="1" ht="11.25">
      <c r="B86" s="33"/>
      <c r="D86" s="142" t="s">
        <v>187</v>
      </c>
      <c r="F86" s="143" t="s">
        <v>3856</v>
      </c>
      <c r="I86" s="144"/>
      <c r="L86" s="33"/>
      <c r="M86" s="145"/>
      <c r="T86" s="54"/>
      <c r="AT86" s="18" t="s">
        <v>187</v>
      </c>
      <c r="AU86" s="18" t="s">
        <v>87</v>
      </c>
    </row>
    <row r="87" spans="2:65" s="1" customFormat="1" ht="16.5" customHeight="1">
      <c r="B87" s="128"/>
      <c r="C87" s="129" t="s">
        <v>87</v>
      </c>
      <c r="D87" s="129" t="s">
        <v>180</v>
      </c>
      <c r="E87" s="130" t="s">
        <v>3840</v>
      </c>
      <c r="F87" s="131" t="s">
        <v>3841</v>
      </c>
      <c r="G87" s="132" t="s">
        <v>243</v>
      </c>
      <c r="H87" s="133">
        <v>1</v>
      </c>
      <c r="I87" s="134"/>
      <c r="J87" s="135">
        <f>ROUND(I87*H87,2)</f>
        <v>0</v>
      </c>
      <c r="K87" s="131" t="s">
        <v>3</v>
      </c>
      <c r="L87" s="33"/>
      <c r="M87" s="136" t="s">
        <v>3</v>
      </c>
      <c r="N87" s="137" t="s">
        <v>48</v>
      </c>
      <c r="P87" s="138">
        <f>O87*H87</f>
        <v>0</v>
      </c>
      <c r="Q87" s="138">
        <v>0</v>
      </c>
      <c r="R87" s="138">
        <f>Q87*H87</f>
        <v>0</v>
      </c>
      <c r="S87" s="138">
        <v>0</v>
      </c>
      <c r="T87" s="139">
        <f>S87*H87</f>
        <v>0</v>
      </c>
      <c r="AR87" s="140" t="s">
        <v>237</v>
      </c>
      <c r="AT87" s="140" t="s">
        <v>180</v>
      </c>
      <c r="AU87" s="140" t="s">
        <v>87</v>
      </c>
      <c r="AY87" s="18" t="s">
        <v>177</v>
      </c>
      <c r="BE87" s="141">
        <f>IF(N87="základní",J87,0)</f>
        <v>0</v>
      </c>
      <c r="BF87" s="141">
        <f>IF(N87="snížená",J87,0)</f>
        <v>0</v>
      </c>
      <c r="BG87" s="141">
        <f>IF(N87="zákl. přenesená",J87,0)</f>
        <v>0</v>
      </c>
      <c r="BH87" s="141">
        <f>IF(N87="sníž. přenesená",J87,0)</f>
        <v>0</v>
      </c>
      <c r="BI87" s="141">
        <f>IF(N87="nulová",J87,0)</f>
        <v>0</v>
      </c>
      <c r="BJ87" s="18" t="s">
        <v>85</v>
      </c>
      <c r="BK87" s="141">
        <f>ROUND(I87*H87,2)</f>
        <v>0</v>
      </c>
      <c r="BL87" s="18" t="s">
        <v>237</v>
      </c>
      <c r="BM87" s="140" t="s">
        <v>3858</v>
      </c>
    </row>
    <row r="88" spans="2:47" s="1" customFormat="1" ht="11.25">
      <c r="B88" s="33"/>
      <c r="D88" s="142" t="s">
        <v>187</v>
      </c>
      <c r="F88" s="143" t="s">
        <v>3841</v>
      </c>
      <c r="I88" s="144"/>
      <c r="L88" s="33"/>
      <c r="M88" s="145"/>
      <c r="T88" s="54"/>
      <c r="AT88" s="18" t="s">
        <v>187</v>
      </c>
      <c r="AU88" s="18" t="s">
        <v>87</v>
      </c>
    </row>
    <row r="89" spans="2:65" s="1" customFormat="1" ht="16.5" customHeight="1">
      <c r="B89" s="128"/>
      <c r="C89" s="129" t="s">
        <v>198</v>
      </c>
      <c r="D89" s="129" t="s">
        <v>180</v>
      </c>
      <c r="E89" s="130" t="s">
        <v>3849</v>
      </c>
      <c r="F89" s="131" t="s">
        <v>3850</v>
      </c>
      <c r="G89" s="132" t="s">
        <v>243</v>
      </c>
      <c r="H89" s="133">
        <v>1</v>
      </c>
      <c r="I89" s="134"/>
      <c r="J89" s="135">
        <f>ROUND(I89*H89,2)</f>
        <v>0</v>
      </c>
      <c r="K89" s="131" t="s">
        <v>3</v>
      </c>
      <c r="L89" s="33"/>
      <c r="M89" s="136" t="s">
        <v>3</v>
      </c>
      <c r="N89" s="137" t="s">
        <v>48</v>
      </c>
      <c r="P89" s="138">
        <f>O89*H89</f>
        <v>0</v>
      </c>
      <c r="Q89" s="138">
        <v>0</v>
      </c>
      <c r="R89" s="138">
        <f>Q89*H89</f>
        <v>0</v>
      </c>
      <c r="S89" s="138">
        <v>0</v>
      </c>
      <c r="T89" s="139">
        <f>S89*H89</f>
        <v>0</v>
      </c>
      <c r="AR89" s="140" t="s">
        <v>237</v>
      </c>
      <c r="AT89" s="140" t="s">
        <v>180</v>
      </c>
      <c r="AU89" s="140" t="s">
        <v>87</v>
      </c>
      <c r="AY89" s="18" t="s">
        <v>177</v>
      </c>
      <c r="BE89" s="141">
        <f>IF(N89="základní",J89,0)</f>
        <v>0</v>
      </c>
      <c r="BF89" s="141">
        <f>IF(N89="snížená",J89,0)</f>
        <v>0</v>
      </c>
      <c r="BG89" s="141">
        <f>IF(N89="zákl. přenesená",J89,0)</f>
        <v>0</v>
      </c>
      <c r="BH89" s="141">
        <f>IF(N89="sníž. přenesená",J89,0)</f>
        <v>0</v>
      </c>
      <c r="BI89" s="141">
        <f>IF(N89="nulová",J89,0)</f>
        <v>0</v>
      </c>
      <c r="BJ89" s="18" t="s">
        <v>85</v>
      </c>
      <c r="BK89" s="141">
        <f>ROUND(I89*H89,2)</f>
        <v>0</v>
      </c>
      <c r="BL89" s="18" t="s">
        <v>237</v>
      </c>
      <c r="BM89" s="140" t="s">
        <v>3859</v>
      </c>
    </row>
    <row r="90" spans="2:47" s="1" customFormat="1" ht="11.25">
      <c r="B90" s="33"/>
      <c r="D90" s="142" t="s">
        <v>187</v>
      </c>
      <c r="F90" s="143" t="s">
        <v>3850</v>
      </c>
      <c r="I90" s="144"/>
      <c r="L90" s="33"/>
      <c r="M90" s="145"/>
      <c r="T90" s="54"/>
      <c r="AT90" s="18" t="s">
        <v>187</v>
      </c>
      <c r="AU90" s="18" t="s">
        <v>87</v>
      </c>
    </row>
    <row r="91" spans="2:63" s="11" customFormat="1" ht="25.9" customHeight="1">
      <c r="B91" s="116"/>
      <c r="D91" s="117" t="s">
        <v>76</v>
      </c>
      <c r="E91" s="118" t="s">
        <v>313</v>
      </c>
      <c r="F91" s="118" t="s">
        <v>314</v>
      </c>
      <c r="I91" s="119"/>
      <c r="J91" s="120">
        <f>BK91</f>
        <v>0</v>
      </c>
      <c r="L91" s="116"/>
      <c r="M91" s="121"/>
      <c r="P91" s="122">
        <f>SUM(P92:P96)</f>
        <v>0</v>
      </c>
      <c r="R91" s="122">
        <f>SUM(R92:R96)</f>
        <v>0</v>
      </c>
      <c r="T91" s="123">
        <f>SUM(T92:T96)</f>
        <v>0</v>
      </c>
      <c r="AR91" s="117" t="s">
        <v>185</v>
      </c>
      <c r="AT91" s="124" t="s">
        <v>76</v>
      </c>
      <c r="AU91" s="124" t="s">
        <v>77</v>
      </c>
      <c r="AY91" s="117" t="s">
        <v>177</v>
      </c>
      <c r="BK91" s="125">
        <f>SUM(BK92:BK96)</f>
        <v>0</v>
      </c>
    </row>
    <row r="92" spans="2:65" s="1" customFormat="1" ht="16.5" customHeight="1">
      <c r="B92" s="128"/>
      <c r="C92" s="129" t="s">
        <v>185</v>
      </c>
      <c r="D92" s="129" t="s">
        <v>180</v>
      </c>
      <c r="E92" s="130" t="s">
        <v>528</v>
      </c>
      <c r="F92" s="131" t="s">
        <v>529</v>
      </c>
      <c r="G92" s="132" t="s">
        <v>305</v>
      </c>
      <c r="H92" s="133">
        <v>100</v>
      </c>
      <c r="I92" s="134"/>
      <c r="J92" s="135">
        <f>ROUND(I92*H92,2)</f>
        <v>0</v>
      </c>
      <c r="K92" s="131" t="s">
        <v>184</v>
      </c>
      <c r="L92" s="33"/>
      <c r="M92" s="136" t="s">
        <v>3</v>
      </c>
      <c r="N92" s="137" t="s">
        <v>48</v>
      </c>
      <c r="P92" s="138">
        <f>O92*H92</f>
        <v>0</v>
      </c>
      <c r="Q92" s="138">
        <v>0</v>
      </c>
      <c r="R92" s="138">
        <f>Q92*H92</f>
        <v>0</v>
      </c>
      <c r="S92" s="138">
        <v>0</v>
      </c>
      <c r="T92" s="139">
        <f>S92*H92</f>
        <v>0</v>
      </c>
      <c r="AR92" s="140" t="s">
        <v>318</v>
      </c>
      <c r="AT92" s="140" t="s">
        <v>180</v>
      </c>
      <c r="AU92" s="140" t="s">
        <v>85</v>
      </c>
      <c r="AY92" s="18" t="s">
        <v>177</v>
      </c>
      <c r="BE92" s="141">
        <f>IF(N92="základní",J92,0)</f>
        <v>0</v>
      </c>
      <c r="BF92" s="141">
        <f>IF(N92="snížená",J92,0)</f>
        <v>0</v>
      </c>
      <c r="BG92" s="141">
        <f>IF(N92="zákl. přenesená",J92,0)</f>
        <v>0</v>
      </c>
      <c r="BH92" s="141">
        <f>IF(N92="sníž. přenesená",J92,0)</f>
        <v>0</v>
      </c>
      <c r="BI92" s="141">
        <f>IF(N92="nulová",J92,0)</f>
        <v>0</v>
      </c>
      <c r="BJ92" s="18" t="s">
        <v>85</v>
      </c>
      <c r="BK92" s="141">
        <f>ROUND(I92*H92,2)</f>
        <v>0</v>
      </c>
      <c r="BL92" s="18" t="s">
        <v>318</v>
      </c>
      <c r="BM92" s="140" t="s">
        <v>3860</v>
      </c>
    </row>
    <row r="93" spans="2:47" s="1" customFormat="1" ht="19.5">
      <c r="B93" s="33"/>
      <c r="D93" s="142" t="s">
        <v>187</v>
      </c>
      <c r="F93" s="143" t="s">
        <v>531</v>
      </c>
      <c r="I93" s="144"/>
      <c r="L93" s="33"/>
      <c r="M93" s="145"/>
      <c r="T93" s="54"/>
      <c r="AT93" s="18" t="s">
        <v>187</v>
      </c>
      <c r="AU93" s="18" t="s">
        <v>85</v>
      </c>
    </row>
    <row r="94" spans="2:47" s="1" customFormat="1" ht="11.25">
      <c r="B94" s="33"/>
      <c r="D94" s="146" t="s">
        <v>189</v>
      </c>
      <c r="F94" s="147" t="s">
        <v>532</v>
      </c>
      <c r="I94" s="144"/>
      <c r="L94" s="33"/>
      <c r="M94" s="145"/>
      <c r="T94" s="54"/>
      <c r="AT94" s="18" t="s">
        <v>189</v>
      </c>
      <c r="AU94" s="18" t="s">
        <v>85</v>
      </c>
    </row>
    <row r="95" spans="2:51" s="13" customFormat="1" ht="11.25">
      <c r="B95" s="156"/>
      <c r="D95" s="142" t="s">
        <v>193</v>
      </c>
      <c r="E95" s="157" t="s">
        <v>3</v>
      </c>
      <c r="F95" s="158" t="s">
        <v>3853</v>
      </c>
      <c r="H95" s="157" t="s">
        <v>3</v>
      </c>
      <c r="I95" s="159"/>
      <c r="L95" s="156"/>
      <c r="M95" s="160"/>
      <c r="T95" s="161"/>
      <c r="AT95" s="157" t="s">
        <v>193</v>
      </c>
      <c r="AU95" s="157" t="s">
        <v>85</v>
      </c>
      <c r="AV95" s="13" t="s">
        <v>85</v>
      </c>
      <c r="AW95" s="13" t="s">
        <v>36</v>
      </c>
      <c r="AX95" s="13" t="s">
        <v>77</v>
      </c>
      <c r="AY95" s="157" t="s">
        <v>177</v>
      </c>
    </row>
    <row r="96" spans="2:51" s="12" customFormat="1" ht="11.25">
      <c r="B96" s="149"/>
      <c r="D96" s="142" t="s">
        <v>193</v>
      </c>
      <c r="E96" s="150" t="s">
        <v>3</v>
      </c>
      <c r="F96" s="151" t="s">
        <v>2777</v>
      </c>
      <c r="H96" s="152">
        <v>100</v>
      </c>
      <c r="I96" s="153"/>
      <c r="L96" s="149"/>
      <c r="M96" s="176"/>
      <c r="N96" s="177"/>
      <c r="O96" s="177"/>
      <c r="P96" s="177"/>
      <c r="Q96" s="177"/>
      <c r="R96" s="177"/>
      <c r="S96" s="177"/>
      <c r="T96" s="178"/>
      <c r="AT96" s="150" t="s">
        <v>193</v>
      </c>
      <c r="AU96" s="150" t="s">
        <v>85</v>
      </c>
      <c r="AV96" s="12" t="s">
        <v>87</v>
      </c>
      <c r="AW96" s="12" t="s">
        <v>36</v>
      </c>
      <c r="AX96" s="12" t="s">
        <v>85</v>
      </c>
      <c r="AY96" s="150" t="s">
        <v>177</v>
      </c>
    </row>
    <row r="97" spans="2:12" s="1" customFormat="1" ht="6.95" customHeight="1">
      <c r="B97" s="42"/>
      <c r="C97" s="43"/>
      <c r="D97" s="43"/>
      <c r="E97" s="43"/>
      <c r="F97" s="43"/>
      <c r="G97" s="43"/>
      <c r="H97" s="43"/>
      <c r="I97" s="43"/>
      <c r="J97" s="43"/>
      <c r="K97" s="43"/>
      <c r="L97" s="33"/>
    </row>
  </sheetData>
  <autoFilter ref="C81:K96"/>
  <mergeCells count="9">
    <mergeCell ref="E50:H50"/>
    <mergeCell ref="E72:H72"/>
    <mergeCell ref="E74:H74"/>
    <mergeCell ref="L2:V2"/>
    <mergeCell ref="E7:H7"/>
    <mergeCell ref="E9:H9"/>
    <mergeCell ref="E18:H18"/>
    <mergeCell ref="E27:H27"/>
    <mergeCell ref="E48:H48"/>
  </mergeCells>
  <hyperlinks>
    <hyperlink ref="F94" r:id="rId1"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7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86</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147</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ROUND(J88,2)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ROUND((SUM(BE88:BE176)),2)</f>
        <v>0</v>
      </c>
      <c r="I33" s="90">
        <v>0.21</v>
      </c>
      <c r="J33" s="89">
        <f>ROUND(((SUM(BE88:BE176))*I33),2)</f>
        <v>0</v>
      </c>
      <c r="L33" s="33"/>
    </row>
    <row r="34" spans="2:12" s="1" customFormat="1" ht="14.45" customHeight="1">
      <c r="B34" s="33"/>
      <c r="E34" s="28" t="s">
        <v>49</v>
      </c>
      <c r="F34" s="89">
        <f>ROUND((SUM(BF88:BF176)),2)</f>
        <v>0</v>
      </c>
      <c r="I34" s="90">
        <v>0.15</v>
      </c>
      <c r="J34" s="89">
        <f>ROUND(((SUM(BF88:BF176))*I34),2)</f>
        <v>0</v>
      </c>
      <c r="L34" s="33"/>
    </row>
    <row r="35" spans="2:12" s="1" customFormat="1" ht="14.45" customHeight="1" hidden="1">
      <c r="B35" s="33"/>
      <c r="E35" s="28" t="s">
        <v>50</v>
      </c>
      <c r="F35" s="89">
        <f>ROUND((SUM(BG88:BG176)),2)</f>
        <v>0</v>
      </c>
      <c r="I35" s="90">
        <v>0.21</v>
      </c>
      <c r="J35" s="89">
        <f>0</f>
        <v>0</v>
      </c>
      <c r="L35" s="33"/>
    </row>
    <row r="36" spans="2:12" s="1" customFormat="1" ht="14.45" customHeight="1" hidden="1">
      <c r="B36" s="33"/>
      <c r="E36" s="28" t="s">
        <v>51</v>
      </c>
      <c r="F36" s="89">
        <f>ROUND((SUM(BH88:BH176)),2)</f>
        <v>0</v>
      </c>
      <c r="I36" s="90">
        <v>0.15</v>
      </c>
      <c r="J36" s="89">
        <f>0</f>
        <v>0</v>
      </c>
      <c r="L36" s="33"/>
    </row>
    <row r="37" spans="2:12" s="1" customFormat="1" ht="14.45" customHeight="1" hidden="1">
      <c r="B37" s="33"/>
      <c r="E37" s="28" t="s">
        <v>52</v>
      </c>
      <c r="F37" s="89">
        <f>ROUND((SUM(BI88:BI176)),2)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1 - Vyklizení objektu, odpojení a demontáž TZB</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J88</f>
        <v>0</v>
      </c>
      <c r="L59" s="33"/>
      <c r="AU59" s="18" t="s">
        <v>152</v>
      </c>
    </row>
    <row r="60" spans="2:12" s="8" customFormat="1" ht="24.95" customHeight="1">
      <c r="B60" s="100"/>
      <c r="D60" s="101" t="s">
        <v>153</v>
      </c>
      <c r="E60" s="102"/>
      <c r="F60" s="102"/>
      <c r="G60" s="102"/>
      <c r="H60" s="102"/>
      <c r="I60" s="102"/>
      <c r="J60" s="103">
        <f>J89</f>
        <v>0</v>
      </c>
      <c r="L60" s="100"/>
    </row>
    <row r="61" spans="2:12" s="9" customFormat="1" ht="19.9" customHeight="1">
      <c r="B61" s="104"/>
      <c r="D61" s="105" t="s">
        <v>154</v>
      </c>
      <c r="E61" s="106"/>
      <c r="F61" s="106"/>
      <c r="G61" s="106"/>
      <c r="H61" s="106"/>
      <c r="I61" s="106"/>
      <c r="J61" s="107">
        <f>J90</f>
        <v>0</v>
      </c>
      <c r="L61" s="104"/>
    </row>
    <row r="62" spans="2:12" s="8" customFormat="1" ht="24.95" customHeight="1">
      <c r="B62" s="100"/>
      <c r="D62" s="101" t="s">
        <v>155</v>
      </c>
      <c r="E62" s="102"/>
      <c r="F62" s="102"/>
      <c r="G62" s="102"/>
      <c r="H62" s="102"/>
      <c r="I62" s="102"/>
      <c r="J62" s="103">
        <f>J124</f>
        <v>0</v>
      </c>
      <c r="L62" s="100"/>
    </row>
    <row r="63" spans="2:12" s="9" customFormat="1" ht="19.9" customHeight="1">
      <c r="B63" s="104"/>
      <c r="D63" s="105" t="s">
        <v>156</v>
      </c>
      <c r="E63" s="106"/>
      <c r="F63" s="106"/>
      <c r="G63" s="106"/>
      <c r="H63" s="106"/>
      <c r="I63" s="106"/>
      <c r="J63" s="107">
        <f>J125</f>
        <v>0</v>
      </c>
      <c r="L63" s="104"/>
    </row>
    <row r="64" spans="2:12" s="9" customFormat="1" ht="19.9" customHeight="1">
      <c r="B64" s="104"/>
      <c r="D64" s="105" t="s">
        <v>157</v>
      </c>
      <c r="E64" s="106"/>
      <c r="F64" s="106"/>
      <c r="G64" s="106"/>
      <c r="H64" s="106"/>
      <c r="I64" s="106"/>
      <c r="J64" s="107">
        <f>J131</f>
        <v>0</v>
      </c>
      <c r="L64" s="104"/>
    </row>
    <row r="65" spans="2:12" s="9" customFormat="1" ht="19.9" customHeight="1">
      <c r="B65" s="104"/>
      <c r="D65" s="105" t="s">
        <v>158</v>
      </c>
      <c r="E65" s="106"/>
      <c r="F65" s="106"/>
      <c r="G65" s="106"/>
      <c r="H65" s="106"/>
      <c r="I65" s="106"/>
      <c r="J65" s="107">
        <f>J136</f>
        <v>0</v>
      </c>
      <c r="L65" s="104"/>
    </row>
    <row r="66" spans="2:12" s="9" customFormat="1" ht="19.9" customHeight="1">
      <c r="B66" s="104"/>
      <c r="D66" s="105" t="s">
        <v>159</v>
      </c>
      <c r="E66" s="106"/>
      <c r="F66" s="106"/>
      <c r="G66" s="106"/>
      <c r="H66" s="106"/>
      <c r="I66" s="106"/>
      <c r="J66" s="107">
        <f>J158</f>
        <v>0</v>
      </c>
      <c r="L66" s="104"/>
    </row>
    <row r="67" spans="2:12" s="9" customFormat="1" ht="19.9" customHeight="1">
      <c r="B67" s="104"/>
      <c r="D67" s="105" t="s">
        <v>160</v>
      </c>
      <c r="E67" s="106"/>
      <c r="F67" s="106"/>
      <c r="G67" s="106"/>
      <c r="H67" s="106"/>
      <c r="I67" s="106"/>
      <c r="J67" s="107">
        <f>J161</f>
        <v>0</v>
      </c>
      <c r="L67" s="104"/>
    </row>
    <row r="68" spans="2:12" s="8" customFormat="1" ht="24.95" customHeight="1">
      <c r="B68" s="100"/>
      <c r="D68" s="101" t="s">
        <v>161</v>
      </c>
      <c r="E68" s="102"/>
      <c r="F68" s="102"/>
      <c r="G68" s="102"/>
      <c r="H68" s="102"/>
      <c r="I68" s="102"/>
      <c r="J68" s="103">
        <f>J171</f>
        <v>0</v>
      </c>
      <c r="L68" s="100"/>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162</v>
      </c>
      <c r="L75" s="33"/>
    </row>
    <row r="76" spans="2:12" s="1" customFormat="1" ht="6.95" customHeight="1">
      <c r="B76" s="33"/>
      <c r="L76" s="33"/>
    </row>
    <row r="77" spans="2:12" s="1" customFormat="1" ht="12" customHeight="1">
      <c r="B77" s="33"/>
      <c r="C77" s="28" t="s">
        <v>17</v>
      </c>
      <c r="L77" s="33"/>
    </row>
    <row r="78" spans="2:12" s="1" customFormat="1" ht="16.5" customHeight="1">
      <c r="B78" s="33"/>
      <c r="E78" s="315" t="str">
        <f>E7</f>
        <v>ZŠ P. HOLÉHO - PŘESTAVBA PLAVECKÉHO PAVILONU</v>
      </c>
      <c r="F78" s="316"/>
      <c r="G78" s="316"/>
      <c r="H78" s="316"/>
      <c r="L78" s="33"/>
    </row>
    <row r="79" spans="2:12" s="1" customFormat="1" ht="12" customHeight="1">
      <c r="B79" s="33"/>
      <c r="C79" s="28" t="s">
        <v>146</v>
      </c>
      <c r="L79" s="33"/>
    </row>
    <row r="80" spans="2:12" s="1" customFormat="1" ht="16.5" customHeight="1">
      <c r="B80" s="33"/>
      <c r="E80" s="281" t="str">
        <f>E9</f>
        <v>E 1 - Vyklizení objektu, odpojení a demontáž TZB</v>
      </c>
      <c r="F80" s="317"/>
      <c r="G80" s="317"/>
      <c r="H80" s="317"/>
      <c r="L80" s="33"/>
    </row>
    <row r="81" spans="2:12" s="1" customFormat="1" ht="6.95" customHeight="1">
      <c r="B81" s="33"/>
      <c r="L81" s="33"/>
    </row>
    <row r="82" spans="2:12" s="1" customFormat="1" ht="12" customHeight="1">
      <c r="B82" s="33"/>
      <c r="C82" s="28" t="s">
        <v>21</v>
      </c>
      <c r="F82" s="26" t="str">
        <f>F12</f>
        <v>Prokopa Holého 2632, Louny, 440 01</v>
      </c>
      <c r="I82" s="28" t="s">
        <v>23</v>
      </c>
      <c r="J82" s="50" t="str">
        <f>IF(J12="","",J12)</f>
        <v>21. 9. 2022</v>
      </c>
      <c r="L82" s="33"/>
    </row>
    <row r="83" spans="2:12" s="1" customFormat="1" ht="6.95" customHeight="1">
      <c r="B83" s="33"/>
      <c r="L83" s="33"/>
    </row>
    <row r="84" spans="2:12" s="1" customFormat="1" ht="15.2" customHeight="1">
      <c r="B84" s="33"/>
      <c r="C84" s="28" t="s">
        <v>25</v>
      </c>
      <c r="F84" s="26" t="str">
        <f>E15</f>
        <v>Město Louny</v>
      </c>
      <c r="I84" s="28" t="s">
        <v>32</v>
      </c>
      <c r="J84" s="31" t="str">
        <f>E21</f>
        <v>RYSIK Design s.r.o.</v>
      </c>
      <c r="L84" s="33"/>
    </row>
    <row r="85" spans="2:12" s="1" customFormat="1" ht="25.7" customHeight="1">
      <c r="B85" s="33"/>
      <c r="C85" s="28" t="s">
        <v>30</v>
      </c>
      <c r="F85" s="26" t="str">
        <f>IF(E18="","",E18)</f>
        <v>Vyplň údaj</v>
      </c>
      <c r="I85" s="28" t="s">
        <v>37</v>
      </c>
      <c r="J85" s="31" t="str">
        <f>E24</f>
        <v>ing. Kateřina Tumpachová</v>
      </c>
      <c r="L85" s="33"/>
    </row>
    <row r="86" spans="2:12" s="1" customFormat="1" ht="10.35" customHeight="1">
      <c r="B86" s="33"/>
      <c r="L86" s="33"/>
    </row>
    <row r="87" spans="2:20" s="10" customFormat="1" ht="29.25" customHeight="1">
      <c r="B87" s="108"/>
      <c r="C87" s="109" t="s">
        <v>163</v>
      </c>
      <c r="D87" s="110" t="s">
        <v>62</v>
      </c>
      <c r="E87" s="110" t="s">
        <v>58</v>
      </c>
      <c r="F87" s="110" t="s">
        <v>59</v>
      </c>
      <c r="G87" s="110" t="s">
        <v>164</v>
      </c>
      <c r="H87" s="110" t="s">
        <v>165</v>
      </c>
      <c r="I87" s="110" t="s">
        <v>166</v>
      </c>
      <c r="J87" s="110" t="s">
        <v>151</v>
      </c>
      <c r="K87" s="111" t="s">
        <v>167</v>
      </c>
      <c r="L87" s="108"/>
      <c r="M87" s="57" t="s">
        <v>3</v>
      </c>
      <c r="N87" s="58" t="s">
        <v>47</v>
      </c>
      <c r="O87" s="58" t="s">
        <v>168</v>
      </c>
      <c r="P87" s="58" t="s">
        <v>169</v>
      </c>
      <c r="Q87" s="58" t="s">
        <v>170</v>
      </c>
      <c r="R87" s="58" t="s">
        <v>171</v>
      </c>
      <c r="S87" s="58" t="s">
        <v>172</v>
      </c>
      <c r="T87" s="59" t="s">
        <v>173</v>
      </c>
    </row>
    <row r="88" spans="2:63" s="1" customFormat="1" ht="22.9" customHeight="1">
      <c r="B88" s="33"/>
      <c r="C88" s="62" t="s">
        <v>174</v>
      </c>
      <c r="J88" s="112">
        <f>BK88</f>
        <v>0</v>
      </c>
      <c r="L88" s="33"/>
      <c r="M88" s="60"/>
      <c r="N88" s="51"/>
      <c r="O88" s="51"/>
      <c r="P88" s="113">
        <f>P89+P124+P171</f>
        <v>0</v>
      </c>
      <c r="Q88" s="51"/>
      <c r="R88" s="113">
        <f>R89+R124+R171</f>
        <v>0</v>
      </c>
      <c r="S88" s="51"/>
      <c r="T88" s="114">
        <f>T89+T124+T171</f>
        <v>1.36246</v>
      </c>
      <c r="AT88" s="18" t="s">
        <v>76</v>
      </c>
      <c r="AU88" s="18" t="s">
        <v>152</v>
      </c>
      <c r="BK88" s="115">
        <f>BK89+BK124+BK171</f>
        <v>0</v>
      </c>
    </row>
    <row r="89" spans="2:63" s="11" customFormat="1" ht="25.9" customHeight="1">
      <c r="B89" s="116"/>
      <c r="D89" s="117" t="s">
        <v>76</v>
      </c>
      <c r="E89" s="118" t="s">
        <v>175</v>
      </c>
      <c r="F89" s="118" t="s">
        <v>176</v>
      </c>
      <c r="I89" s="119"/>
      <c r="J89" s="120">
        <f>BK89</f>
        <v>0</v>
      </c>
      <c r="L89" s="116"/>
      <c r="M89" s="121"/>
      <c r="P89" s="122">
        <f>P90</f>
        <v>0</v>
      </c>
      <c r="R89" s="122">
        <f>R90</f>
        <v>0</v>
      </c>
      <c r="T89" s="123">
        <f>T90</f>
        <v>0</v>
      </c>
      <c r="AR89" s="117" t="s">
        <v>85</v>
      </c>
      <c r="AT89" s="124" t="s">
        <v>76</v>
      </c>
      <c r="AU89" s="124" t="s">
        <v>77</v>
      </c>
      <c r="AY89" s="117" t="s">
        <v>177</v>
      </c>
      <c r="BK89" s="125">
        <f>BK90</f>
        <v>0</v>
      </c>
    </row>
    <row r="90" spans="2:63" s="11" customFormat="1" ht="22.9" customHeight="1">
      <c r="B90" s="116"/>
      <c r="D90" s="117" t="s">
        <v>76</v>
      </c>
      <c r="E90" s="126" t="s">
        <v>178</v>
      </c>
      <c r="F90" s="126" t="s">
        <v>179</v>
      </c>
      <c r="I90" s="119"/>
      <c r="J90" s="127">
        <f>BK90</f>
        <v>0</v>
      </c>
      <c r="L90" s="116"/>
      <c r="M90" s="121"/>
      <c r="P90" s="122">
        <f>SUM(P91:P123)</f>
        <v>0</v>
      </c>
      <c r="R90" s="122">
        <f>SUM(R91:R123)</f>
        <v>0</v>
      </c>
      <c r="T90" s="123">
        <f>SUM(T91:T123)</f>
        <v>0</v>
      </c>
      <c r="AR90" s="117" t="s">
        <v>85</v>
      </c>
      <c r="AT90" s="124" t="s">
        <v>76</v>
      </c>
      <c r="AU90" s="124" t="s">
        <v>85</v>
      </c>
      <c r="AY90" s="117" t="s">
        <v>177</v>
      </c>
      <c r="BK90" s="125">
        <f>SUM(BK91:BK123)</f>
        <v>0</v>
      </c>
    </row>
    <row r="91" spans="2:65" s="1" customFormat="1" ht="24.2" customHeight="1">
      <c r="B91" s="128"/>
      <c r="C91" s="129" t="s">
        <v>85</v>
      </c>
      <c r="D91" s="129" t="s">
        <v>180</v>
      </c>
      <c r="E91" s="130" t="s">
        <v>181</v>
      </c>
      <c r="F91" s="131" t="s">
        <v>182</v>
      </c>
      <c r="G91" s="132" t="s">
        <v>183</v>
      </c>
      <c r="H91" s="133">
        <v>9.362</v>
      </c>
      <c r="I91" s="134"/>
      <c r="J91" s="135">
        <f>ROUND(I91*H91,2)</f>
        <v>0</v>
      </c>
      <c r="K91" s="131" t="s">
        <v>184</v>
      </c>
      <c r="L91" s="33"/>
      <c r="M91" s="136" t="s">
        <v>3</v>
      </c>
      <c r="N91" s="137" t="s">
        <v>48</v>
      </c>
      <c r="P91" s="138">
        <f>O91*H91</f>
        <v>0</v>
      </c>
      <c r="Q91" s="138">
        <v>0</v>
      </c>
      <c r="R91" s="138">
        <f>Q91*H91</f>
        <v>0</v>
      </c>
      <c r="S91" s="138">
        <v>0</v>
      </c>
      <c r="T91" s="139">
        <f>S91*H91</f>
        <v>0</v>
      </c>
      <c r="AR91" s="140" t="s">
        <v>185</v>
      </c>
      <c r="AT91" s="140" t="s">
        <v>180</v>
      </c>
      <c r="AU91" s="140" t="s">
        <v>87</v>
      </c>
      <c r="AY91" s="18" t="s">
        <v>177</v>
      </c>
      <c r="BE91" s="141">
        <f>IF(N91="základní",J91,0)</f>
        <v>0</v>
      </c>
      <c r="BF91" s="141">
        <f>IF(N91="snížená",J91,0)</f>
        <v>0</v>
      </c>
      <c r="BG91" s="141">
        <f>IF(N91="zákl. přenesená",J91,0)</f>
        <v>0</v>
      </c>
      <c r="BH91" s="141">
        <f>IF(N91="sníž. přenesená",J91,0)</f>
        <v>0</v>
      </c>
      <c r="BI91" s="141">
        <f>IF(N91="nulová",J91,0)</f>
        <v>0</v>
      </c>
      <c r="BJ91" s="18" t="s">
        <v>85</v>
      </c>
      <c r="BK91" s="141">
        <f>ROUND(I91*H91,2)</f>
        <v>0</v>
      </c>
      <c r="BL91" s="18" t="s">
        <v>185</v>
      </c>
      <c r="BM91" s="140" t="s">
        <v>186</v>
      </c>
    </row>
    <row r="92" spans="2:47" s="1" customFormat="1" ht="19.5">
      <c r="B92" s="33"/>
      <c r="D92" s="142" t="s">
        <v>187</v>
      </c>
      <c r="F92" s="143" t="s">
        <v>188</v>
      </c>
      <c r="I92" s="144"/>
      <c r="L92" s="33"/>
      <c r="M92" s="145"/>
      <c r="T92" s="54"/>
      <c r="AT92" s="18" t="s">
        <v>187</v>
      </c>
      <c r="AU92" s="18" t="s">
        <v>87</v>
      </c>
    </row>
    <row r="93" spans="2:47" s="1" customFormat="1" ht="11.25">
      <c r="B93" s="33"/>
      <c r="D93" s="146" t="s">
        <v>189</v>
      </c>
      <c r="F93" s="147" t="s">
        <v>190</v>
      </c>
      <c r="I93" s="144"/>
      <c r="L93" s="33"/>
      <c r="M93" s="145"/>
      <c r="T93" s="54"/>
      <c r="AT93" s="18" t="s">
        <v>189</v>
      </c>
      <c r="AU93" s="18" t="s">
        <v>87</v>
      </c>
    </row>
    <row r="94" spans="2:47" s="1" customFormat="1" ht="146.25">
      <c r="B94" s="33"/>
      <c r="D94" s="142" t="s">
        <v>191</v>
      </c>
      <c r="F94" s="148" t="s">
        <v>192</v>
      </c>
      <c r="I94" s="144"/>
      <c r="L94" s="33"/>
      <c r="M94" s="145"/>
      <c r="T94" s="54"/>
      <c r="AT94" s="18" t="s">
        <v>191</v>
      </c>
      <c r="AU94" s="18" t="s">
        <v>87</v>
      </c>
    </row>
    <row r="95" spans="2:51" s="12" customFormat="1" ht="11.25">
      <c r="B95" s="149"/>
      <c r="D95" s="142" t="s">
        <v>193</v>
      </c>
      <c r="E95" s="150" t="s">
        <v>3</v>
      </c>
      <c r="F95" s="151" t="s">
        <v>194</v>
      </c>
      <c r="H95" s="152">
        <v>1.362</v>
      </c>
      <c r="I95" s="153"/>
      <c r="L95" s="149"/>
      <c r="M95" s="154"/>
      <c r="T95" s="155"/>
      <c r="AT95" s="150" t="s">
        <v>193</v>
      </c>
      <c r="AU95" s="150" t="s">
        <v>87</v>
      </c>
      <c r="AV95" s="12" t="s">
        <v>87</v>
      </c>
      <c r="AW95" s="12" t="s">
        <v>36</v>
      </c>
      <c r="AX95" s="12" t="s">
        <v>77</v>
      </c>
      <c r="AY95" s="150" t="s">
        <v>177</v>
      </c>
    </row>
    <row r="96" spans="2:51" s="13" customFormat="1" ht="11.25">
      <c r="B96" s="156"/>
      <c r="D96" s="142" t="s">
        <v>193</v>
      </c>
      <c r="E96" s="157" t="s">
        <v>3</v>
      </c>
      <c r="F96" s="158" t="s">
        <v>195</v>
      </c>
      <c r="H96" s="157" t="s">
        <v>3</v>
      </c>
      <c r="I96" s="159"/>
      <c r="L96" s="156"/>
      <c r="M96" s="160"/>
      <c r="T96" s="161"/>
      <c r="AT96" s="157" t="s">
        <v>193</v>
      </c>
      <c r="AU96" s="157" t="s">
        <v>87</v>
      </c>
      <c r="AV96" s="13" t="s">
        <v>85</v>
      </c>
      <c r="AW96" s="13" t="s">
        <v>36</v>
      </c>
      <c r="AX96" s="13" t="s">
        <v>77</v>
      </c>
      <c r="AY96" s="157" t="s">
        <v>177</v>
      </c>
    </row>
    <row r="97" spans="2:51" s="12" customFormat="1" ht="11.25">
      <c r="B97" s="149"/>
      <c r="D97" s="142" t="s">
        <v>193</v>
      </c>
      <c r="E97" s="150" t="s">
        <v>3</v>
      </c>
      <c r="F97" s="151" t="s">
        <v>196</v>
      </c>
      <c r="H97" s="152">
        <v>3</v>
      </c>
      <c r="I97" s="153"/>
      <c r="L97" s="149"/>
      <c r="M97" s="154"/>
      <c r="T97" s="155"/>
      <c r="AT97" s="150" t="s">
        <v>193</v>
      </c>
      <c r="AU97" s="150" t="s">
        <v>87</v>
      </c>
      <c r="AV97" s="12" t="s">
        <v>87</v>
      </c>
      <c r="AW97" s="12" t="s">
        <v>36</v>
      </c>
      <c r="AX97" s="12" t="s">
        <v>77</v>
      </c>
      <c r="AY97" s="150" t="s">
        <v>177</v>
      </c>
    </row>
    <row r="98" spans="2:51" s="14" customFormat="1" ht="11.25">
      <c r="B98" s="162"/>
      <c r="D98" s="142" t="s">
        <v>193</v>
      </c>
      <c r="E98" s="163" t="s">
        <v>3</v>
      </c>
      <c r="F98" s="164" t="s">
        <v>197</v>
      </c>
      <c r="H98" s="165">
        <v>4.362</v>
      </c>
      <c r="I98" s="166"/>
      <c r="L98" s="162"/>
      <c r="M98" s="167"/>
      <c r="T98" s="168"/>
      <c r="AT98" s="163" t="s">
        <v>193</v>
      </c>
      <c r="AU98" s="163" t="s">
        <v>87</v>
      </c>
      <c r="AV98" s="14" t="s">
        <v>198</v>
      </c>
      <c r="AW98" s="14" t="s">
        <v>36</v>
      </c>
      <c r="AX98" s="14" t="s">
        <v>77</v>
      </c>
      <c r="AY98" s="163" t="s">
        <v>177</v>
      </c>
    </row>
    <row r="99" spans="2:51" s="13" customFormat="1" ht="11.25">
      <c r="B99" s="156"/>
      <c r="D99" s="142" t="s">
        <v>193</v>
      </c>
      <c r="E99" s="157" t="s">
        <v>3</v>
      </c>
      <c r="F99" s="158" t="s">
        <v>199</v>
      </c>
      <c r="H99" s="157" t="s">
        <v>3</v>
      </c>
      <c r="I99" s="159"/>
      <c r="L99" s="156"/>
      <c r="M99" s="160"/>
      <c r="T99" s="161"/>
      <c r="AT99" s="157" t="s">
        <v>193</v>
      </c>
      <c r="AU99" s="157" t="s">
        <v>87</v>
      </c>
      <c r="AV99" s="13" t="s">
        <v>85</v>
      </c>
      <c r="AW99" s="13" t="s">
        <v>36</v>
      </c>
      <c r="AX99" s="13" t="s">
        <v>77</v>
      </c>
      <c r="AY99" s="157" t="s">
        <v>177</v>
      </c>
    </row>
    <row r="100" spans="2:51" s="12" customFormat="1" ht="11.25">
      <c r="B100" s="149"/>
      <c r="D100" s="142" t="s">
        <v>193</v>
      </c>
      <c r="E100" s="150" t="s">
        <v>3</v>
      </c>
      <c r="F100" s="151" t="s">
        <v>200</v>
      </c>
      <c r="H100" s="152">
        <v>5</v>
      </c>
      <c r="I100" s="153"/>
      <c r="L100" s="149"/>
      <c r="M100" s="154"/>
      <c r="T100" s="155"/>
      <c r="AT100" s="150" t="s">
        <v>193</v>
      </c>
      <c r="AU100" s="150" t="s">
        <v>87</v>
      </c>
      <c r="AV100" s="12" t="s">
        <v>87</v>
      </c>
      <c r="AW100" s="12" t="s">
        <v>36</v>
      </c>
      <c r="AX100" s="12" t="s">
        <v>77</v>
      </c>
      <c r="AY100" s="150" t="s">
        <v>177</v>
      </c>
    </row>
    <row r="101" spans="2:51" s="15" customFormat="1" ht="11.25">
      <c r="B101" s="169"/>
      <c r="D101" s="142" t="s">
        <v>193</v>
      </c>
      <c r="E101" s="170" t="s">
        <v>3</v>
      </c>
      <c r="F101" s="171" t="s">
        <v>201</v>
      </c>
      <c r="H101" s="172">
        <v>9.362</v>
      </c>
      <c r="I101" s="173"/>
      <c r="L101" s="169"/>
      <c r="M101" s="174"/>
      <c r="T101" s="175"/>
      <c r="AT101" s="170" t="s">
        <v>193</v>
      </c>
      <c r="AU101" s="170" t="s">
        <v>87</v>
      </c>
      <c r="AV101" s="15" t="s">
        <v>185</v>
      </c>
      <c r="AW101" s="15" t="s">
        <v>36</v>
      </c>
      <c r="AX101" s="15" t="s">
        <v>85</v>
      </c>
      <c r="AY101" s="170" t="s">
        <v>177</v>
      </c>
    </row>
    <row r="102" spans="2:65" s="1" customFormat="1" ht="33" customHeight="1">
      <c r="B102" s="128"/>
      <c r="C102" s="129" t="s">
        <v>87</v>
      </c>
      <c r="D102" s="129" t="s">
        <v>180</v>
      </c>
      <c r="E102" s="130" t="s">
        <v>202</v>
      </c>
      <c r="F102" s="131" t="s">
        <v>203</v>
      </c>
      <c r="G102" s="132" t="s">
        <v>183</v>
      </c>
      <c r="H102" s="133">
        <v>2.724</v>
      </c>
      <c r="I102" s="134"/>
      <c r="J102" s="135">
        <f>ROUND(I102*H102,2)</f>
        <v>0</v>
      </c>
      <c r="K102" s="131" t="s">
        <v>184</v>
      </c>
      <c r="L102" s="33"/>
      <c r="M102" s="136" t="s">
        <v>3</v>
      </c>
      <c r="N102" s="137" t="s">
        <v>48</v>
      </c>
      <c r="P102" s="138">
        <f>O102*H102</f>
        <v>0</v>
      </c>
      <c r="Q102" s="138">
        <v>0</v>
      </c>
      <c r="R102" s="138">
        <f>Q102*H102</f>
        <v>0</v>
      </c>
      <c r="S102" s="138">
        <v>0</v>
      </c>
      <c r="T102" s="139">
        <f>S102*H102</f>
        <v>0</v>
      </c>
      <c r="AR102" s="140" t="s">
        <v>185</v>
      </c>
      <c r="AT102" s="140" t="s">
        <v>180</v>
      </c>
      <c r="AU102" s="140" t="s">
        <v>87</v>
      </c>
      <c r="AY102" s="18" t="s">
        <v>177</v>
      </c>
      <c r="BE102" s="141">
        <f>IF(N102="základní",J102,0)</f>
        <v>0</v>
      </c>
      <c r="BF102" s="141">
        <f>IF(N102="snížená",J102,0)</f>
        <v>0</v>
      </c>
      <c r="BG102" s="141">
        <f>IF(N102="zákl. přenesená",J102,0)</f>
        <v>0</v>
      </c>
      <c r="BH102" s="141">
        <f>IF(N102="sníž. přenesená",J102,0)</f>
        <v>0</v>
      </c>
      <c r="BI102" s="141">
        <f>IF(N102="nulová",J102,0)</f>
        <v>0</v>
      </c>
      <c r="BJ102" s="18" t="s">
        <v>85</v>
      </c>
      <c r="BK102" s="141">
        <f>ROUND(I102*H102,2)</f>
        <v>0</v>
      </c>
      <c r="BL102" s="18" t="s">
        <v>185</v>
      </c>
      <c r="BM102" s="140" t="s">
        <v>204</v>
      </c>
    </row>
    <row r="103" spans="2:47" s="1" customFormat="1" ht="39">
      <c r="B103" s="33"/>
      <c r="D103" s="142" t="s">
        <v>187</v>
      </c>
      <c r="F103" s="143" t="s">
        <v>205</v>
      </c>
      <c r="I103" s="144"/>
      <c r="L103" s="33"/>
      <c r="M103" s="145"/>
      <c r="T103" s="54"/>
      <c r="AT103" s="18" t="s">
        <v>187</v>
      </c>
      <c r="AU103" s="18" t="s">
        <v>87</v>
      </c>
    </row>
    <row r="104" spans="2:47" s="1" customFormat="1" ht="11.25">
      <c r="B104" s="33"/>
      <c r="D104" s="146" t="s">
        <v>189</v>
      </c>
      <c r="F104" s="147" t="s">
        <v>206</v>
      </c>
      <c r="I104" s="144"/>
      <c r="L104" s="33"/>
      <c r="M104" s="145"/>
      <c r="T104" s="54"/>
      <c r="AT104" s="18" t="s">
        <v>189</v>
      </c>
      <c r="AU104" s="18" t="s">
        <v>87</v>
      </c>
    </row>
    <row r="105" spans="2:47" s="1" customFormat="1" ht="146.25">
      <c r="B105" s="33"/>
      <c r="D105" s="142" t="s">
        <v>191</v>
      </c>
      <c r="F105" s="148" t="s">
        <v>192</v>
      </c>
      <c r="I105" s="144"/>
      <c r="L105" s="33"/>
      <c r="M105" s="145"/>
      <c r="T105" s="54"/>
      <c r="AT105" s="18" t="s">
        <v>191</v>
      </c>
      <c r="AU105" s="18" t="s">
        <v>87</v>
      </c>
    </row>
    <row r="106" spans="2:51" s="12" customFormat="1" ht="11.25">
      <c r="B106" s="149"/>
      <c r="D106" s="142" t="s">
        <v>193</v>
      </c>
      <c r="F106" s="151" t="s">
        <v>207</v>
      </c>
      <c r="H106" s="152">
        <v>2.724</v>
      </c>
      <c r="I106" s="153"/>
      <c r="L106" s="149"/>
      <c r="M106" s="154"/>
      <c r="T106" s="155"/>
      <c r="AT106" s="150" t="s">
        <v>193</v>
      </c>
      <c r="AU106" s="150" t="s">
        <v>87</v>
      </c>
      <c r="AV106" s="12" t="s">
        <v>87</v>
      </c>
      <c r="AW106" s="12" t="s">
        <v>4</v>
      </c>
      <c r="AX106" s="12" t="s">
        <v>85</v>
      </c>
      <c r="AY106" s="150" t="s">
        <v>177</v>
      </c>
    </row>
    <row r="107" spans="2:65" s="1" customFormat="1" ht="24.2" customHeight="1">
      <c r="B107" s="128"/>
      <c r="C107" s="129" t="s">
        <v>198</v>
      </c>
      <c r="D107" s="129" t="s">
        <v>180</v>
      </c>
      <c r="E107" s="130" t="s">
        <v>208</v>
      </c>
      <c r="F107" s="131" t="s">
        <v>209</v>
      </c>
      <c r="G107" s="132" t="s">
        <v>183</v>
      </c>
      <c r="H107" s="133">
        <v>9.362</v>
      </c>
      <c r="I107" s="134"/>
      <c r="J107" s="135">
        <f>ROUND(I107*H107,2)</f>
        <v>0</v>
      </c>
      <c r="K107" s="131" t="s">
        <v>184</v>
      </c>
      <c r="L107" s="33"/>
      <c r="M107" s="136" t="s">
        <v>3</v>
      </c>
      <c r="N107" s="137" t="s">
        <v>48</v>
      </c>
      <c r="P107" s="138">
        <f>O107*H107</f>
        <v>0</v>
      </c>
      <c r="Q107" s="138">
        <v>0</v>
      </c>
      <c r="R107" s="138">
        <f>Q107*H107</f>
        <v>0</v>
      </c>
      <c r="S107" s="138">
        <v>0</v>
      </c>
      <c r="T107" s="139">
        <f>S107*H107</f>
        <v>0</v>
      </c>
      <c r="AR107" s="140" t="s">
        <v>185</v>
      </c>
      <c r="AT107" s="140" t="s">
        <v>180</v>
      </c>
      <c r="AU107" s="140" t="s">
        <v>87</v>
      </c>
      <c r="AY107" s="18" t="s">
        <v>177</v>
      </c>
      <c r="BE107" s="141">
        <f>IF(N107="základní",J107,0)</f>
        <v>0</v>
      </c>
      <c r="BF107" s="141">
        <f>IF(N107="snížená",J107,0)</f>
        <v>0</v>
      </c>
      <c r="BG107" s="141">
        <f>IF(N107="zákl. přenesená",J107,0)</f>
        <v>0</v>
      </c>
      <c r="BH107" s="141">
        <f>IF(N107="sníž. přenesená",J107,0)</f>
        <v>0</v>
      </c>
      <c r="BI107" s="141">
        <f>IF(N107="nulová",J107,0)</f>
        <v>0</v>
      </c>
      <c r="BJ107" s="18" t="s">
        <v>85</v>
      </c>
      <c r="BK107" s="141">
        <f>ROUND(I107*H107,2)</f>
        <v>0</v>
      </c>
      <c r="BL107" s="18" t="s">
        <v>185</v>
      </c>
      <c r="BM107" s="140" t="s">
        <v>210</v>
      </c>
    </row>
    <row r="108" spans="2:47" s="1" customFormat="1" ht="19.5">
      <c r="B108" s="33"/>
      <c r="D108" s="142" t="s">
        <v>187</v>
      </c>
      <c r="F108" s="143" t="s">
        <v>211</v>
      </c>
      <c r="I108" s="144"/>
      <c r="L108" s="33"/>
      <c r="M108" s="145"/>
      <c r="T108" s="54"/>
      <c r="AT108" s="18" t="s">
        <v>187</v>
      </c>
      <c r="AU108" s="18" t="s">
        <v>87</v>
      </c>
    </row>
    <row r="109" spans="2:47" s="1" customFormat="1" ht="11.25">
      <c r="B109" s="33"/>
      <c r="D109" s="146" t="s">
        <v>189</v>
      </c>
      <c r="F109" s="147" t="s">
        <v>212</v>
      </c>
      <c r="I109" s="144"/>
      <c r="L109" s="33"/>
      <c r="M109" s="145"/>
      <c r="T109" s="54"/>
      <c r="AT109" s="18" t="s">
        <v>189</v>
      </c>
      <c r="AU109" s="18" t="s">
        <v>87</v>
      </c>
    </row>
    <row r="110" spans="2:47" s="1" customFormat="1" ht="97.5">
      <c r="B110" s="33"/>
      <c r="D110" s="142" t="s">
        <v>191</v>
      </c>
      <c r="F110" s="148" t="s">
        <v>213</v>
      </c>
      <c r="I110" s="144"/>
      <c r="L110" s="33"/>
      <c r="M110" s="145"/>
      <c r="T110" s="54"/>
      <c r="AT110" s="18" t="s">
        <v>191</v>
      </c>
      <c r="AU110" s="18" t="s">
        <v>87</v>
      </c>
    </row>
    <row r="111" spans="2:65" s="1" customFormat="1" ht="24.2" customHeight="1">
      <c r="B111" s="128"/>
      <c r="C111" s="129" t="s">
        <v>185</v>
      </c>
      <c r="D111" s="129" t="s">
        <v>180</v>
      </c>
      <c r="E111" s="130" t="s">
        <v>214</v>
      </c>
      <c r="F111" s="131" t="s">
        <v>215</v>
      </c>
      <c r="G111" s="132" t="s">
        <v>183</v>
      </c>
      <c r="H111" s="133">
        <v>92.878</v>
      </c>
      <c r="I111" s="134"/>
      <c r="J111" s="135">
        <f>ROUND(I111*H111,2)</f>
        <v>0</v>
      </c>
      <c r="K111" s="131" t="s">
        <v>184</v>
      </c>
      <c r="L111" s="33"/>
      <c r="M111" s="136" t="s">
        <v>3</v>
      </c>
      <c r="N111" s="137" t="s">
        <v>48</v>
      </c>
      <c r="P111" s="138">
        <f>O111*H111</f>
        <v>0</v>
      </c>
      <c r="Q111" s="138">
        <v>0</v>
      </c>
      <c r="R111" s="138">
        <f>Q111*H111</f>
        <v>0</v>
      </c>
      <c r="S111" s="138">
        <v>0</v>
      </c>
      <c r="T111" s="139">
        <f>S111*H111</f>
        <v>0</v>
      </c>
      <c r="AR111" s="140" t="s">
        <v>185</v>
      </c>
      <c r="AT111" s="140" t="s">
        <v>180</v>
      </c>
      <c r="AU111" s="140" t="s">
        <v>87</v>
      </c>
      <c r="AY111" s="18" t="s">
        <v>177</v>
      </c>
      <c r="BE111" s="141">
        <f>IF(N111="základní",J111,0)</f>
        <v>0</v>
      </c>
      <c r="BF111" s="141">
        <f>IF(N111="snížená",J111,0)</f>
        <v>0</v>
      </c>
      <c r="BG111" s="141">
        <f>IF(N111="zákl. přenesená",J111,0)</f>
        <v>0</v>
      </c>
      <c r="BH111" s="141">
        <f>IF(N111="sníž. přenesená",J111,0)</f>
        <v>0</v>
      </c>
      <c r="BI111" s="141">
        <f>IF(N111="nulová",J111,0)</f>
        <v>0</v>
      </c>
      <c r="BJ111" s="18" t="s">
        <v>85</v>
      </c>
      <c r="BK111" s="141">
        <f>ROUND(I111*H111,2)</f>
        <v>0</v>
      </c>
      <c r="BL111" s="18" t="s">
        <v>185</v>
      </c>
      <c r="BM111" s="140" t="s">
        <v>216</v>
      </c>
    </row>
    <row r="112" spans="2:47" s="1" customFormat="1" ht="29.25">
      <c r="B112" s="33"/>
      <c r="D112" s="142" t="s">
        <v>187</v>
      </c>
      <c r="F112" s="143" t="s">
        <v>217</v>
      </c>
      <c r="I112" s="144"/>
      <c r="L112" s="33"/>
      <c r="M112" s="145"/>
      <c r="T112" s="54"/>
      <c r="AT112" s="18" t="s">
        <v>187</v>
      </c>
      <c r="AU112" s="18" t="s">
        <v>87</v>
      </c>
    </row>
    <row r="113" spans="2:47" s="1" customFormat="1" ht="11.25">
      <c r="B113" s="33"/>
      <c r="D113" s="146" t="s">
        <v>189</v>
      </c>
      <c r="F113" s="147" t="s">
        <v>218</v>
      </c>
      <c r="I113" s="144"/>
      <c r="L113" s="33"/>
      <c r="M113" s="145"/>
      <c r="T113" s="54"/>
      <c r="AT113" s="18" t="s">
        <v>189</v>
      </c>
      <c r="AU113" s="18" t="s">
        <v>87</v>
      </c>
    </row>
    <row r="114" spans="2:47" s="1" customFormat="1" ht="97.5">
      <c r="B114" s="33"/>
      <c r="D114" s="142" t="s">
        <v>191</v>
      </c>
      <c r="F114" s="148" t="s">
        <v>213</v>
      </c>
      <c r="I114" s="144"/>
      <c r="L114" s="33"/>
      <c r="M114" s="145"/>
      <c r="T114" s="54"/>
      <c r="AT114" s="18" t="s">
        <v>191</v>
      </c>
      <c r="AU114" s="18" t="s">
        <v>87</v>
      </c>
    </row>
    <row r="115" spans="2:51" s="13" customFormat="1" ht="11.25">
      <c r="B115" s="156"/>
      <c r="D115" s="142" t="s">
        <v>193</v>
      </c>
      <c r="E115" s="157" t="s">
        <v>3</v>
      </c>
      <c r="F115" s="158" t="s">
        <v>219</v>
      </c>
      <c r="H115" s="157" t="s">
        <v>3</v>
      </c>
      <c r="I115" s="159"/>
      <c r="L115" s="156"/>
      <c r="M115" s="160"/>
      <c r="T115" s="161"/>
      <c r="AT115" s="157" t="s">
        <v>193</v>
      </c>
      <c r="AU115" s="157" t="s">
        <v>87</v>
      </c>
      <c r="AV115" s="13" t="s">
        <v>85</v>
      </c>
      <c r="AW115" s="13" t="s">
        <v>36</v>
      </c>
      <c r="AX115" s="13" t="s">
        <v>77</v>
      </c>
      <c r="AY115" s="157" t="s">
        <v>177</v>
      </c>
    </row>
    <row r="116" spans="2:51" s="12" customFormat="1" ht="11.25">
      <c r="B116" s="149"/>
      <c r="D116" s="142" t="s">
        <v>193</v>
      </c>
      <c r="E116" s="150" t="s">
        <v>3</v>
      </c>
      <c r="F116" s="151" t="s">
        <v>220</v>
      </c>
      <c r="H116" s="152">
        <v>10</v>
      </c>
      <c r="I116" s="153"/>
      <c r="L116" s="149"/>
      <c r="M116" s="154"/>
      <c r="T116" s="155"/>
      <c r="AT116" s="150" t="s">
        <v>193</v>
      </c>
      <c r="AU116" s="150" t="s">
        <v>87</v>
      </c>
      <c r="AV116" s="12" t="s">
        <v>87</v>
      </c>
      <c r="AW116" s="12" t="s">
        <v>36</v>
      </c>
      <c r="AX116" s="12" t="s">
        <v>77</v>
      </c>
      <c r="AY116" s="150" t="s">
        <v>177</v>
      </c>
    </row>
    <row r="117" spans="2:51" s="13" customFormat="1" ht="11.25">
      <c r="B117" s="156"/>
      <c r="D117" s="142" t="s">
        <v>193</v>
      </c>
      <c r="E117" s="157" t="s">
        <v>3</v>
      </c>
      <c r="F117" s="158" t="s">
        <v>221</v>
      </c>
      <c r="H117" s="157" t="s">
        <v>3</v>
      </c>
      <c r="I117" s="159"/>
      <c r="L117" s="156"/>
      <c r="M117" s="160"/>
      <c r="T117" s="161"/>
      <c r="AT117" s="157" t="s">
        <v>193</v>
      </c>
      <c r="AU117" s="157" t="s">
        <v>87</v>
      </c>
      <c r="AV117" s="13" t="s">
        <v>85</v>
      </c>
      <c r="AW117" s="13" t="s">
        <v>36</v>
      </c>
      <c r="AX117" s="13" t="s">
        <v>77</v>
      </c>
      <c r="AY117" s="157" t="s">
        <v>177</v>
      </c>
    </row>
    <row r="118" spans="2:51" s="12" customFormat="1" ht="11.25">
      <c r="B118" s="149"/>
      <c r="D118" s="142" t="s">
        <v>193</v>
      </c>
      <c r="E118" s="150" t="s">
        <v>3</v>
      </c>
      <c r="F118" s="151" t="s">
        <v>222</v>
      </c>
      <c r="H118" s="152">
        <v>82.878</v>
      </c>
      <c r="I118" s="153"/>
      <c r="L118" s="149"/>
      <c r="M118" s="154"/>
      <c r="T118" s="155"/>
      <c r="AT118" s="150" t="s">
        <v>193</v>
      </c>
      <c r="AU118" s="150" t="s">
        <v>87</v>
      </c>
      <c r="AV118" s="12" t="s">
        <v>87</v>
      </c>
      <c r="AW118" s="12" t="s">
        <v>36</v>
      </c>
      <c r="AX118" s="12" t="s">
        <v>77</v>
      </c>
      <c r="AY118" s="150" t="s">
        <v>177</v>
      </c>
    </row>
    <row r="119" spans="2:51" s="15" customFormat="1" ht="11.25">
      <c r="B119" s="169"/>
      <c r="D119" s="142" t="s">
        <v>193</v>
      </c>
      <c r="E119" s="170" t="s">
        <v>3</v>
      </c>
      <c r="F119" s="171" t="s">
        <v>201</v>
      </c>
      <c r="H119" s="172">
        <v>92.878</v>
      </c>
      <c r="I119" s="173"/>
      <c r="L119" s="169"/>
      <c r="M119" s="174"/>
      <c r="T119" s="175"/>
      <c r="AT119" s="170" t="s">
        <v>193</v>
      </c>
      <c r="AU119" s="170" t="s">
        <v>87</v>
      </c>
      <c r="AV119" s="15" t="s">
        <v>185</v>
      </c>
      <c r="AW119" s="15" t="s">
        <v>36</v>
      </c>
      <c r="AX119" s="15" t="s">
        <v>85</v>
      </c>
      <c r="AY119" s="170" t="s">
        <v>177</v>
      </c>
    </row>
    <row r="120" spans="2:65" s="1" customFormat="1" ht="44.25" customHeight="1">
      <c r="B120" s="128"/>
      <c r="C120" s="129" t="s">
        <v>200</v>
      </c>
      <c r="D120" s="129" t="s">
        <v>180</v>
      </c>
      <c r="E120" s="130" t="s">
        <v>223</v>
      </c>
      <c r="F120" s="131" t="s">
        <v>224</v>
      </c>
      <c r="G120" s="132" t="s">
        <v>183</v>
      </c>
      <c r="H120" s="133">
        <v>4.362</v>
      </c>
      <c r="I120" s="134"/>
      <c r="J120" s="135">
        <f>ROUND(I120*H120,2)</f>
        <v>0</v>
      </c>
      <c r="K120" s="131" t="s">
        <v>184</v>
      </c>
      <c r="L120" s="33"/>
      <c r="M120" s="136" t="s">
        <v>3</v>
      </c>
      <c r="N120" s="137" t="s">
        <v>48</v>
      </c>
      <c r="P120" s="138">
        <f>O120*H120</f>
        <v>0</v>
      </c>
      <c r="Q120" s="138">
        <v>0</v>
      </c>
      <c r="R120" s="138">
        <f>Q120*H120</f>
        <v>0</v>
      </c>
      <c r="S120" s="138">
        <v>0</v>
      </c>
      <c r="T120" s="139">
        <f>S120*H120</f>
        <v>0</v>
      </c>
      <c r="AR120" s="140" t="s">
        <v>185</v>
      </c>
      <c r="AT120" s="140" t="s">
        <v>180</v>
      </c>
      <c r="AU120" s="140" t="s">
        <v>87</v>
      </c>
      <c r="AY120" s="18" t="s">
        <v>177</v>
      </c>
      <c r="BE120" s="141">
        <f>IF(N120="základní",J120,0)</f>
        <v>0</v>
      </c>
      <c r="BF120" s="141">
        <f>IF(N120="snížená",J120,0)</f>
        <v>0</v>
      </c>
      <c r="BG120" s="141">
        <f>IF(N120="zákl. přenesená",J120,0)</f>
        <v>0</v>
      </c>
      <c r="BH120" s="141">
        <f>IF(N120="sníž. přenesená",J120,0)</f>
        <v>0</v>
      </c>
      <c r="BI120" s="141">
        <f>IF(N120="nulová",J120,0)</f>
        <v>0</v>
      </c>
      <c r="BJ120" s="18" t="s">
        <v>85</v>
      </c>
      <c r="BK120" s="141">
        <f>ROUND(I120*H120,2)</f>
        <v>0</v>
      </c>
      <c r="BL120" s="18" t="s">
        <v>185</v>
      </c>
      <c r="BM120" s="140" t="s">
        <v>225</v>
      </c>
    </row>
    <row r="121" spans="2:47" s="1" customFormat="1" ht="29.25">
      <c r="B121" s="33"/>
      <c r="D121" s="142" t="s">
        <v>187</v>
      </c>
      <c r="F121" s="143" t="s">
        <v>226</v>
      </c>
      <c r="I121" s="144"/>
      <c r="L121" s="33"/>
      <c r="M121" s="145"/>
      <c r="T121" s="54"/>
      <c r="AT121" s="18" t="s">
        <v>187</v>
      </c>
      <c r="AU121" s="18" t="s">
        <v>87</v>
      </c>
    </row>
    <row r="122" spans="2:47" s="1" customFormat="1" ht="11.25">
      <c r="B122" s="33"/>
      <c r="D122" s="146" t="s">
        <v>189</v>
      </c>
      <c r="F122" s="147" t="s">
        <v>227</v>
      </c>
      <c r="I122" s="144"/>
      <c r="L122" s="33"/>
      <c r="M122" s="145"/>
      <c r="T122" s="54"/>
      <c r="AT122" s="18" t="s">
        <v>189</v>
      </c>
      <c r="AU122" s="18" t="s">
        <v>87</v>
      </c>
    </row>
    <row r="123" spans="2:47" s="1" customFormat="1" ht="58.5">
      <c r="B123" s="33"/>
      <c r="D123" s="142" t="s">
        <v>191</v>
      </c>
      <c r="F123" s="148" t="s">
        <v>228</v>
      </c>
      <c r="I123" s="144"/>
      <c r="L123" s="33"/>
      <c r="M123" s="145"/>
      <c r="T123" s="54"/>
      <c r="AT123" s="18" t="s">
        <v>191</v>
      </c>
      <c r="AU123" s="18" t="s">
        <v>87</v>
      </c>
    </row>
    <row r="124" spans="2:63" s="11" customFormat="1" ht="25.9" customHeight="1">
      <c r="B124" s="116"/>
      <c r="D124" s="117" t="s">
        <v>76</v>
      </c>
      <c r="E124" s="118" t="s">
        <v>229</v>
      </c>
      <c r="F124" s="118" t="s">
        <v>230</v>
      </c>
      <c r="I124" s="119"/>
      <c r="J124" s="120">
        <f>BK124</f>
        <v>0</v>
      </c>
      <c r="L124" s="116"/>
      <c r="M124" s="121"/>
      <c r="P124" s="122">
        <f>P125+P131+P136+P158+P161</f>
        <v>0</v>
      </c>
      <c r="R124" s="122">
        <f>R125+R131+R136+R158+R161</f>
        <v>0</v>
      </c>
      <c r="T124" s="123">
        <f>T125+T131+T136+T158+T161</f>
        <v>1.36246</v>
      </c>
      <c r="AR124" s="117" t="s">
        <v>87</v>
      </c>
      <c r="AT124" s="124" t="s">
        <v>76</v>
      </c>
      <c r="AU124" s="124" t="s">
        <v>77</v>
      </c>
      <c r="AY124" s="117" t="s">
        <v>177</v>
      </c>
      <c r="BK124" s="125">
        <f>BK125+BK131+BK136+BK158+BK161</f>
        <v>0</v>
      </c>
    </row>
    <row r="125" spans="2:63" s="11" customFormat="1" ht="22.9" customHeight="1">
      <c r="B125" s="116"/>
      <c r="D125" s="117" t="s">
        <v>76</v>
      </c>
      <c r="E125" s="126" t="s">
        <v>231</v>
      </c>
      <c r="F125" s="126" t="s">
        <v>232</v>
      </c>
      <c r="I125" s="119"/>
      <c r="J125" s="127">
        <f>BK125</f>
        <v>0</v>
      </c>
      <c r="L125" s="116"/>
      <c r="M125" s="121"/>
      <c r="P125" s="122">
        <f>SUM(P126:P130)</f>
        <v>0</v>
      </c>
      <c r="R125" s="122">
        <f>SUM(R126:R130)</f>
        <v>0</v>
      </c>
      <c r="T125" s="123">
        <f>SUM(T126:T130)</f>
        <v>0.71064</v>
      </c>
      <c r="AR125" s="117" t="s">
        <v>87</v>
      </c>
      <c r="AT125" s="124" t="s">
        <v>76</v>
      </c>
      <c r="AU125" s="124" t="s">
        <v>85</v>
      </c>
      <c r="AY125" s="117" t="s">
        <v>177</v>
      </c>
      <c r="BK125" s="125">
        <f>SUM(BK126:BK130)</f>
        <v>0</v>
      </c>
    </row>
    <row r="126" spans="2:65" s="1" customFormat="1" ht="24.2" customHeight="1">
      <c r="B126" s="128"/>
      <c r="C126" s="129" t="s">
        <v>233</v>
      </c>
      <c r="D126" s="129" t="s">
        <v>180</v>
      </c>
      <c r="E126" s="130" t="s">
        <v>234</v>
      </c>
      <c r="F126" s="131" t="s">
        <v>235</v>
      </c>
      <c r="G126" s="132" t="s">
        <v>236</v>
      </c>
      <c r="H126" s="133">
        <v>24</v>
      </c>
      <c r="I126" s="134"/>
      <c r="J126" s="135">
        <f>ROUND(I126*H126,2)</f>
        <v>0</v>
      </c>
      <c r="K126" s="131" t="s">
        <v>184</v>
      </c>
      <c r="L126" s="33"/>
      <c r="M126" s="136" t="s">
        <v>3</v>
      </c>
      <c r="N126" s="137" t="s">
        <v>48</v>
      </c>
      <c r="P126" s="138">
        <f>O126*H126</f>
        <v>0</v>
      </c>
      <c r="Q126" s="138">
        <v>0</v>
      </c>
      <c r="R126" s="138">
        <f>Q126*H126</f>
        <v>0</v>
      </c>
      <c r="S126" s="138">
        <v>0.02961</v>
      </c>
      <c r="T126" s="139">
        <f>S126*H126</f>
        <v>0.71064</v>
      </c>
      <c r="AR126" s="140" t="s">
        <v>237</v>
      </c>
      <c r="AT126" s="140" t="s">
        <v>180</v>
      </c>
      <c r="AU126" s="140" t="s">
        <v>87</v>
      </c>
      <c r="AY126" s="18" t="s">
        <v>177</v>
      </c>
      <c r="BE126" s="141">
        <f>IF(N126="základní",J126,0)</f>
        <v>0</v>
      </c>
      <c r="BF126" s="141">
        <f>IF(N126="snížená",J126,0)</f>
        <v>0</v>
      </c>
      <c r="BG126" s="141">
        <f>IF(N126="zákl. přenesená",J126,0)</f>
        <v>0</v>
      </c>
      <c r="BH126" s="141">
        <f>IF(N126="sníž. přenesená",J126,0)</f>
        <v>0</v>
      </c>
      <c r="BI126" s="141">
        <f>IF(N126="nulová",J126,0)</f>
        <v>0</v>
      </c>
      <c r="BJ126" s="18" t="s">
        <v>85</v>
      </c>
      <c r="BK126" s="141">
        <f>ROUND(I126*H126,2)</f>
        <v>0</v>
      </c>
      <c r="BL126" s="18" t="s">
        <v>237</v>
      </c>
      <c r="BM126" s="140" t="s">
        <v>238</v>
      </c>
    </row>
    <row r="127" spans="2:47" s="1" customFormat="1" ht="19.5">
      <c r="B127" s="33"/>
      <c r="D127" s="142" t="s">
        <v>187</v>
      </c>
      <c r="F127" s="143" t="s">
        <v>239</v>
      </c>
      <c r="I127" s="144"/>
      <c r="L127" s="33"/>
      <c r="M127" s="145"/>
      <c r="T127" s="54"/>
      <c r="AT127" s="18" t="s">
        <v>187</v>
      </c>
      <c r="AU127" s="18" t="s">
        <v>87</v>
      </c>
    </row>
    <row r="128" spans="2:47" s="1" customFormat="1" ht="11.25">
      <c r="B128" s="33"/>
      <c r="D128" s="146" t="s">
        <v>189</v>
      </c>
      <c r="F128" s="147" t="s">
        <v>240</v>
      </c>
      <c r="I128" s="144"/>
      <c r="L128" s="33"/>
      <c r="M128" s="145"/>
      <c r="T128" s="54"/>
      <c r="AT128" s="18" t="s">
        <v>189</v>
      </c>
      <c r="AU128" s="18" t="s">
        <v>87</v>
      </c>
    </row>
    <row r="129" spans="2:65" s="1" customFormat="1" ht="16.5" customHeight="1">
      <c r="B129" s="128"/>
      <c r="C129" s="129" t="s">
        <v>241</v>
      </c>
      <c r="D129" s="129" t="s">
        <v>180</v>
      </c>
      <c r="E129" s="130" t="s">
        <v>180</v>
      </c>
      <c r="F129" s="131" t="s">
        <v>242</v>
      </c>
      <c r="G129" s="132" t="s">
        <v>243</v>
      </c>
      <c r="H129" s="133">
        <v>1</v>
      </c>
      <c r="I129" s="134"/>
      <c r="J129" s="135">
        <f>ROUND(I129*H129,2)</f>
        <v>0</v>
      </c>
      <c r="K129" s="131" t="s">
        <v>244</v>
      </c>
      <c r="L129" s="33"/>
      <c r="M129" s="136" t="s">
        <v>3</v>
      </c>
      <c r="N129" s="137" t="s">
        <v>48</v>
      </c>
      <c r="P129" s="138">
        <f>O129*H129</f>
        <v>0</v>
      </c>
      <c r="Q129" s="138">
        <v>0</v>
      </c>
      <c r="R129" s="138">
        <f>Q129*H129</f>
        <v>0</v>
      </c>
      <c r="S129" s="138">
        <v>0</v>
      </c>
      <c r="T129" s="139">
        <f>S129*H129</f>
        <v>0</v>
      </c>
      <c r="AR129" s="140" t="s">
        <v>237</v>
      </c>
      <c r="AT129" s="140" t="s">
        <v>180</v>
      </c>
      <c r="AU129" s="140" t="s">
        <v>87</v>
      </c>
      <c r="AY129" s="18" t="s">
        <v>177</v>
      </c>
      <c r="BE129" s="141">
        <f>IF(N129="základní",J129,0)</f>
        <v>0</v>
      </c>
      <c r="BF129" s="141">
        <f>IF(N129="snížená",J129,0)</f>
        <v>0</v>
      </c>
      <c r="BG129" s="141">
        <f>IF(N129="zákl. přenesená",J129,0)</f>
        <v>0</v>
      </c>
      <c r="BH129" s="141">
        <f>IF(N129="sníž. přenesená",J129,0)</f>
        <v>0</v>
      </c>
      <c r="BI129" s="141">
        <f>IF(N129="nulová",J129,0)</f>
        <v>0</v>
      </c>
      <c r="BJ129" s="18" t="s">
        <v>85</v>
      </c>
      <c r="BK129" s="141">
        <f>ROUND(I129*H129,2)</f>
        <v>0</v>
      </c>
      <c r="BL129" s="18" t="s">
        <v>237</v>
      </c>
      <c r="BM129" s="140" t="s">
        <v>245</v>
      </c>
    </row>
    <row r="130" spans="2:47" s="1" customFormat="1" ht="11.25">
      <c r="B130" s="33"/>
      <c r="D130" s="142" t="s">
        <v>187</v>
      </c>
      <c r="F130" s="143" t="s">
        <v>242</v>
      </c>
      <c r="I130" s="144"/>
      <c r="L130" s="33"/>
      <c r="M130" s="145"/>
      <c r="T130" s="54"/>
      <c r="AT130" s="18" t="s">
        <v>187</v>
      </c>
      <c r="AU130" s="18" t="s">
        <v>87</v>
      </c>
    </row>
    <row r="131" spans="2:63" s="11" customFormat="1" ht="22.9" customHeight="1">
      <c r="B131" s="116"/>
      <c r="D131" s="117" t="s">
        <v>76</v>
      </c>
      <c r="E131" s="126" t="s">
        <v>246</v>
      </c>
      <c r="F131" s="126" t="s">
        <v>247</v>
      </c>
      <c r="I131" s="119"/>
      <c r="J131" s="127">
        <f>BK131</f>
        <v>0</v>
      </c>
      <c r="L131" s="116"/>
      <c r="M131" s="121"/>
      <c r="P131" s="122">
        <f>SUM(P132:P135)</f>
        <v>0</v>
      </c>
      <c r="R131" s="122">
        <f>SUM(R132:R135)</f>
        <v>0</v>
      </c>
      <c r="T131" s="123">
        <f>SUM(T132:T135)</f>
        <v>0</v>
      </c>
      <c r="AR131" s="117" t="s">
        <v>87</v>
      </c>
      <c r="AT131" s="124" t="s">
        <v>76</v>
      </c>
      <c r="AU131" s="124" t="s">
        <v>85</v>
      </c>
      <c r="AY131" s="117" t="s">
        <v>177</v>
      </c>
      <c r="BK131" s="125">
        <f>SUM(BK132:BK135)</f>
        <v>0</v>
      </c>
    </row>
    <row r="132" spans="2:65" s="1" customFormat="1" ht="16.5" customHeight="1">
      <c r="B132" s="128"/>
      <c r="C132" s="129" t="s">
        <v>248</v>
      </c>
      <c r="D132" s="129" t="s">
        <v>180</v>
      </c>
      <c r="E132" s="130" t="s">
        <v>249</v>
      </c>
      <c r="F132" s="131" t="s">
        <v>250</v>
      </c>
      <c r="G132" s="132" t="s">
        <v>243</v>
      </c>
      <c r="H132" s="133">
        <v>1</v>
      </c>
      <c r="I132" s="134"/>
      <c r="J132" s="135">
        <f>ROUND(I132*H132,2)</f>
        <v>0</v>
      </c>
      <c r="K132" s="131" t="s">
        <v>244</v>
      </c>
      <c r="L132" s="33"/>
      <c r="M132" s="136" t="s">
        <v>3</v>
      </c>
      <c r="N132" s="137" t="s">
        <v>48</v>
      </c>
      <c r="P132" s="138">
        <f>O132*H132</f>
        <v>0</v>
      </c>
      <c r="Q132" s="138">
        <v>0</v>
      </c>
      <c r="R132" s="138">
        <f>Q132*H132</f>
        <v>0</v>
      </c>
      <c r="S132" s="138">
        <v>0</v>
      </c>
      <c r="T132" s="139">
        <f>S132*H132</f>
        <v>0</v>
      </c>
      <c r="AR132" s="140" t="s">
        <v>237</v>
      </c>
      <c r="AT132" s="140" t="s">
        <v>180</v>
      </c>
      <c r="AU132" s="140" t="s">
        <v>87</v>
      </c>
      <c r="AY132" s="18" t="s">
        <v>177</v>
      </c>
      <c r="BE132" s="141">
        <f>IF(N132="základní",J132,0)</f>
        <v>0</v>
      </c>
      <c r="BF132" s="141">
        <f>IF(N132="snížená",J132,0)</f>
        <v>0</v>
      </c>
      <c r="BG132" s="141">
        <f>IF(N132="zákl. přenesená",J132,0)</f>
        <v>0</v>
      </c>
      <c r="BH132" s="141">
        <f>IF(N132="sníž. přenesená",J132,0)</f>
        <v>0</v>
      </c>
      <c r="BI132" s="141">
        <f>IF(N132="nulová",J132,0)</f>
        <v>0</v>
      </c>
      <c r="BJ132" s="18" t="s">
        <v>85</v>
      </c>
      <c r="BK132" s="141">
        <f>ROUND(I132*H132,2)</f>
        <v>0</v>
      </c>
      <c r="BL132" s="18" t="s">
        <v>237</v>
      </c>
      <c r="BM132" s="140" t="s">
        <v>251</v>
      </c>
    </row>
    <row r="133" spans="2:47" s="1" customFormat="1" ht="11.25">
      <c r="B133" s="33"/>
      <c r="D133" s="142" t="s">
        <v>187</v>
      </c>
      <c r="F133" s="143" t="s">
        <v>250</v>
      </c>
      <c r="I133" s="144"/>
      <c r="L133" s="33"/>
      <c r="M133" s="145"/>
      <c r="T133" s="54"/>
      <c r="AT133" s="18" t="s">
        <v>187</v>
      </c>
      <c r="AU133" s="18" t="s">
        <v>87</v>
      </c>
    </row>
    <row r="134" spans="2:65" s="1" customFormat="1" ht="16.5" customHeight="1">
      <c r="B134" s="128"/>
      <c r="C134" s="129" t="s">
        <v>252</v>
      </c>
      <c r="D134" s="129" t="s">
        <v>180</v>
      </c>
      <c r="E134" s="130" t="s">
        <v>253</v>
      </c>
      <c r="F134" s="131" t="s">
        <v>254</v>
      </c>
      <c r="G134" s="132" t="s">
        <v>243</v>
      </c>
      <c r="H134" s="133">
        <v>1</v>
      </c>
      <c r="I134" s="134"/>
      <c r="J134" s="135">
        <f>ROUND(I134*H134,2)</f>
        <v>0</v>
      </c>
      <c r="K134" s="131" t="s">
        <v>244</v>
      </c>
      <c r="L134" s="33"/>
      <c r="M134" s="136" t="s">
        <v>3</v>
      </c>
      <c r="N134" s="137" t="s">
        <v>48</v>
      </c>
      <c r="P134" s="138">
        <f>O134*H134</f>
        <v>0</v>
      </c>
      <c r="Q134" s="138">
        <v>0</v>
      </c>
      <c r="R134" s="138">
        <f>Q134*H134</f>
        <v>0</v>
      </c>
      <c r="S134" s="138">
        <v>0</v>
      </c>
      <c r="T134" s="139">
        <f>S134*H134</f>
        <v>0</v>
      </c>
      <c r="AR134" s="140" t="s">
        <v>237</v>
      </c>
      <c r="AT134" s="140" t="s">
        <v>180</v>
      </c>
      <c r="AU134" s="140" t="s">
        <v>87</v>
      </c>
      <c r="AY134" s="18" t="s">
        <v>177</v>
      </c>
      <c r="BE134" s="141">
        <f>IF(N134="základní",J134,0)</f>
        <v>0</v>
      </c>
      <c r="BF134" s="141">
        <f>IF(N134="snížená",J134,0)</f>
        <v>0</v>
      </c>
      <c r="BG134" s="141">
        <f>IF(N134="zákl. přenesená",J134,0)</f>
        <v>0</v>
      </c>
      <c r="BH134" s="141">
        <f>IF(N134="sníž. přenesená",J134,0)</f>
        <v>0</v>
      </c>
      <c r="BI134" s="141">
        <f>IF(N134="nulová",J134,0)</f>
        <v>0</v>
      </c>
      <c r="BJ134" s="18" t="s">
        <v>85</v>
      </c>
      <c r="BK134" s="141">
        <f>ROUND(I134*H134,2)</f>
        <v>0</v>
      </c>
      <c r="BL134" s="18" t="s">
        <v>237</v>
      </c>
      <c r="BM134" s="140" t="s">
        <v>255</v>
      </c>
    </row>
    <row r="135" spans="2:47" s="1" customFormat="1" ht="11.25">
      <c r="B135" s="33"/>
      <c r="D135" s="142" t="s">
        <v>187</v>
      </c>
      <c r="F135" s="143" t="s">
        <v>254</v>
      </c>
      <c r="I135" s="144"/>
      <c r="L135" s="33"/>
      <c r="M135" s="145"/>
      <c r="T135" s="54"/>
      <c r="AT135" s="18" t="s">
        <v>187</v>
      </c>
      <c r="AU135" s="18" t="s">
        <v>87</v>
      </c>
    </row>
    <row r="136" spans="2:63" s="11" customFormat="1" ht="22.9" customHeight="1">
      <c r="B136" s="116"/>
      <c r="D136" s="117" t="s">
        <v>76</v>
      </c>
      <c r="E136" s="126" t="s">
        <v>256</v>
      </c>
      <c r="F136" s="126" t="s">
        <v>257</v>
      </c>
      <c r="I136" s="119"/>
      <c r="J136" s="127">
        <f>BK136</f>
        <v>0</v>
      </c>
      <c r="L136" s="116"/>
      <c r="M136" s="121"/>
      <c r="P136" s="122">
        <f>SUM(P137:P157)</f>
        <v>0</v>
      </c>
      <c r="R136" s="122">
        <f>SUM(R137:R157)</f>
        <v>0</v>
      </c>
      <c r="T136" s="123">
        <f>SUM(T137:T157)</f>
        <v>0.65182</v>
      </c>
      <c r="AR136" s="117" t="s">
        <v>87</v>
      </c>
      <c r="AT136" s="124" t="s">
        <v>76</v>
      </c>
      <c r="AU136" s="124" t="s">
        <v>85</v>
      </c>
      <c r="AY136" s="117" t="s">
        <v>177</v>
      </c>
      <c r="BK136" s="125">
        <f>SUM(BK137:BK157)</f>
        <v>0</v>
      </c>
    </row>
    <row r="137" spans="2:65" s="1" customFormat="1" ht="16.5" customHeight="1">
      <c r="B137" s="128"/>
      <c r="C137" s="129" t="s">
        <v>258</v>
      </c>
      <c r="D137" s="129" t="s">
        <v>180</v>
      </c>
      <c r="E137" s="130" t="s">
        <v>259</v>
      </c>
      <c r="F137" s="131" t="s">
        <v>260</v>
      </c>
      <c r="G137" s="132" t="s">
        <v>261</v>
      </c>
      <c r="H137" s="133">
        <v>11</v>
      </c>
      <c r="I137" s="134"/>
      <c r="J137" s="135">
        <f>ROUND(I137*H137,2)</f>
        <v>0</v>
      </c>
      <c r="K137" s="131" t="s">
        <v>184</v>
      </c>
      <c r="L137" s="33"/>
      <c r="M137" s="136" t="s">
        <v>3</v>
      </c>
      <c r="N137" s="137" t="s">
        <v>48</v>
      </c>
      <c r="P137" s="138">
        <f>O137*H137</f>
        <v>0</v>
      </c>
      <c r="Q137" s="138">
        <v>0</v>
      </c>
      <c r="R137" s="138">
        <f>Q137*H137</f>
        <v>0</v>
      </c>
      <c r="S137" s="138">
        <v>0.0342</v>
      </c>
      <c r="T137" s="139">
        <f>S137*H137</f>
        <v>0.37620000000000003</v>
      </c>
      <c r="AR137" s="140" t="s">
        <v>237</v>
      </c>
      <c r="AT137" s="140" t="s">
        <v>180</v>
      </c>
      <c r="AU137" s="140" t="s">
        <v>87</v>
      </c>
      <c r="AY137" s="18" t="s">
        <v>177</v>
      </c>
      <c r="BE137" s="141">
        <f>IF(N137="základní",J137,0)</f>
        <v>0</v>
      </c>
      <c r="BF137" s="141">
        <f>IF(N137="snížená",J137,0)</f>
        <v>0</v>
      </c>
      <c r="BG137" s="141">
        <f>IF(N137="zákl. přenesená",J137,0)</f>
        <v>0</v>
      </c>
      <c r="BH137" s="141">
        <f>IF(N137="sníž. přenesená",J137,0)</f>
        <v>0</v>
      </c>
      <c r="BI137" s="141">
        <f>IF(N137="nulová",J137,0)</f>
        <v>0</v>
      </c>
      <c r="BJ137" s="18" t="s">
        <v>85</v>
      </c>
      <c r="BK137" s="141">
        <f>ROUND(I137*H137,2)</f>
        <v>0</v>
      </c>
      <c r="BL137" s="18" t="s">
        <v>237</v>
      </c>
      <c r="BM137" s="140" t="s">
        <v>262</v>
      </c>
    </row>
    <row r="138" spans="2:47" s="1" customFormat="1" ht="11.25">
      <c r="B138" s="33"/>
      <c r="D138" s="142" t="s">
        <v>187</v>
      </c>
      <c r="F138" s="143" t="s">
        <v>263</v>
      </c>
      <c r="I138" s="144"/>
      <c r="L138" s="33"/>
      <c r="M138" s="145"/>
      <c r="T138" s="54"/>
      <c r="AT138" s="18" t="s">
        <v>187</v>
      </c>
      <c r="AU138" s="18" t="s">
        <v>87</v>
      </c>
    </row>
    <row r="139" spans="2:47" s="1" customFormat="1" ht="11.25">
      <c r="B139" s="33"/>
      <c r="D139" s="146" t="s">
        <v>189</v>
      </c>
      <c r="F139" s="147" t="s">
        <v>264</v>
      </c>
      <c r="I139" s="144"/>
      <c r="L139" s="33"/>
      <c r="M139" s="145"/>
      <c r="T139" s="54"/>
      <c r="AT139" s="18" t="s">
        <v>189</v>
      </c>
      <c r="AU139" s="18" t="s">
        <v>87</v>
      </c>
    </row>
    <row r="140" spans="2:65" s="1" customFormat="1" ht="16.5" customHeight="1">
      <c r="B140" s="128"/>
      <c r="C140" s="129" t="s">
        <v>265</v>
      </c>
      <c r="D140" s="129" t="s">
        <v>180</v>
      </c>
      <c r="E140" s="130" t="s">
        <v>266</v>
      </c>
      <c r="F140" s="131" t="s">
        <v>267</v>
      </c>
      <c r="G140" s="132" t="s">
        <v>261</v>
      </c>
      <c r="H140" s="133">
        <v>9</v>
      </c>
      <c r="I140" s="134"/>
      <c r="J140" s="135">
        <f>ROUND(I140*H140,2)</f>
        <v>0</v>
      </c>
      <c r="K140" s="131" t="s">
        <v>184</v>
      </c>
      <c r="L140" s="33"/>
      <c r="M140" s="136" t="s">
        <v>3</v>
      </c>
      <c r="N140" s="137" t="s">
        <v>48</v>
      </c>
      <c r="P140" s="138">
        <f>O140*H140</f>
        <v>0</v>
      </c>
      <c r="Q140" s="138">
        <v>0</v>
      </c>
      <c r="R140" s="138">
        <f>Q140*H140</f>
        <v>0</v>
      </c>
      <c r="S140" s="138">
        <v>0.01946</v>
      </c>
      <c r="T140" s="139">
        <f>S140*H140</f>
        <v>0.17514000000000002</v>
      </c>
      <c r="AR140" s="140" t="s">
        <v>237</v>
      </c>
      <c r="AT140" s="140" t="s">
        <v>180</v>
      </c>
      <c r="AU140" s="140" t="s">
        <v>87</v>
      </c>
      <c r="AY140" s="18" t="s">
        <v>177</v>
      </c>
      <c r="BE140" s="141">
        <f>IF(N140="základní",J140,0)</f>
        <v>0</v>
      </c>
      <c r="BF140" s="141">
        <f>IF(N140="snížená",J140,0)</f>
        <v>0</v>
      </c>
      <c r="BG140" s="141">
        <f>IF(N140="zákl. přenesená",J140,0)</f>
        <v>0</v>
      </c>
      <c r="BH140" s="141">
        <f>IF(N140="sníž. přenesená",J140,0)</f>
        <v>0</v>
      </c>
      <c r="BI140" s="141">
        <f>IF(N140="nulová",J140,0)</f>
        <v>0</v>
      </c>
      <c r="BJ140" s="18" t="s">
        <v>85</v>
      </c>
      <c r="BK140" s="141">
        <f>ROUND(I140*H140,2)</f>
        <v>0</v>
      </c>
      <c r="BL140" s="18" t="s">
        <v>237</v>
      </c>
      <c r="BM140" s="140" t="s">
        <v>268</v>
      </c>
    </row>
    <row r="141" spans="2:47" s="1" customFormat="1" ht="11.25">
      <c r="B141" s="33"/>
      <c r="D141" s="142" t="s">
        <v>187</v>
      </c>
      <c r="F141" s="143" t="s">
        <v>269</v>
      </c>
      <c r="I141" s="144"/>
      <c r="L141" s="33"/>
      <c r="M141" s="145"/>
      <c r="T141" s="54"/>
      <c r="AT141" s="18" t="s">
        <v>187</v>
      </c>
      <c r="AU141" s="18" t="s">
        <v>87</v>
      </c>
    </row>
    <row r="142" spans="2:47" s="1" customFormat="1" ht="11.25">
      <c r="B142" s="33"/>
      <c r="D142" s="146" t="s">
        <v>189</v>
      </c>
      <c r="F142" s="147" t="s">
        <v>270</v>
      </c>
      <c r="I142" s="144"/>
      <c r="L142" s="33"/>
      <c r="M142" s="145"/>
      <c r="T142" s="54"/>
      <c r="AT142" s="18" t="s">
        <v>189</v>
      </c>
      <c r="AU142" s="18" t="s">
        <v>87</v>
      </c>
    </row>
    <row r="143" spans="2:65" s="1" customFormat="1" ht="16.5" customHeight="1">
      <c r="B143" s="128"/>
      <c r="C143" s="129" t="s">
        <v>271</v>
      </c>
      <c r="D143" s="129" t="s">
        <v>180</v>
      </c>
      <c r="E143" s="130" t="s">
        <v>272</v>
      </c>
      <c r="F143" s="131" t="s">
        <v>273</v>
      </c>
      <c r="G143" s="132" t="s">
        <v>261</v>
      </c>
      <c r="H143" s="133">
        <v>4</v>
      </c>
      <c r="I143" s="134"/>
      <c r="J143" s="135">
        <f>ROUND(I143*H143,2)</f>
        <v>0</v>
      </c>
      <c r="K143" s="131" t="s">
        <v>184</v>
      </c>
      <c r="L143" s="33"/>
      <c r="M143" s="136" t="s">
        <v>3</v>
      </c>
      <c r="N143" s="137" t="s">
        <v>48</v>
      </c>
      <c r="P143" s="138">
        <f>O143*H143</f>
        <v>0</v>
      </c>
      <c r="Q143" s="138">
        <v>0</v>
      </c>
      <c r="R143" s="138">
        <f>Q143*H143</f>
        <v>0</v>
      </c>
      <c r="S143" s="138">
        <v>0.0066</v>
      </c>
      <c r="T143" s="139">
        <f>S143*H143</f>
        <v>0.0264</v>
      </c>
      <c r="AR143" s="140" t="s">
        <v>237</v>
      </c>
      <c r="AT143" s="140" t="s">
        <v>180</v>
      </c>
      <c r="AU143" s="140" t="s">
        <v>87</v>
      </c>
      <c r="AY143" s="18" t="s">
        <v>177</v>
      </c>
      <c r="BE143" s="141">
        <f>IF(N143="základní",J143,0)</f>
        <v>0</v>
      </c>
      <c r="BF143" s="141">
        <f>IF(N143="snížená",J143,0)</f>
        <v>0</v>
      </c>
      <c r="BG143" s="141">
        <f>IF(N143="zákl. přenesená",J143,0)</f>
        <v>0</v>
      </c>
      <c r="BH143" s="141">
        <f>IF(N143="sníž. přenesená",J143,0)</f>
        <v>0</v>
      </c>
      <c r="BI143" s="141">
        <f>IF(N143="nulová",J143,0)</f>
        <v>0</v>
      </c>
      <c r="BJ143" s="18" t="s">
        <v>85</v>
      </c>
      <c r="BK143" s="141">
        <f>ROUND(I143*H143,2)</f>
        <v>0</v>
      </c>
      <c r="BL143" s="18" t="s">
        <v>237</v>
      </c>
      <c r="BM143" s="140" t="s">
        <v>274</v>
      </c>
    </row>
    <row r="144" spans="2:47" s="1" customFormat="1" ht="11.25">
      <c r="B144" s="33"/>
      <c r="D144" s="142" t="s">
        <v>187</v>
      </c>
      <c r="F144" s="143" t="s">
        <v>275</v>
      </c>
      <c r="I144" s="144"/>
      <c r="L144" s="33"/>
      <c r="M144" s="145"/>
      <c r="T144" s="54"/>
      <c r="AT144" s="18" t="s">
        <v>187</v>
      </c>
      <c r="AU144" s="18" t="s">
        <v>87</v>
      </c>
    </row>
    <row r="145" spans="2:47" s="1" customFormat="1" ht="11.25">
      <c r="B145" s="33"/>
      <c r="D145" s="146" t="s">
        <v>189</v>
      </c>
      <c r="F145" s="147" t="s">
        <v>276</v>
      </c>
      <c r="I145" s="144"/>
      <c r="L145" s="33"/>
      <c r="M145" s="145"/>
      <c r="T145" s="54"/>
      <c r="AT145" s="18" t="s">
        <v>189</v>
      </c>
      <c r="AU145" s="18" t="s">
        <v>87</v>
      </c>
    </row>
    <row r="146" spans="2:65" s="1" customFormat="1" ht="16.5" customHeight="1">
      <c r="B146" s="128"/>
      <c r="C146" s="129" t="s">
        <v>277</v>
      </c>
      <c r="D146" s="129" t="s">
        <v>180</v>
      </c>
      <c r="E146" s="130" t="s">
        <v>278</v>
      </c>
      <c r="F146" s="131" t="s">
        <v>279</v>
      </c>
      <c r="G146" s="132" t="s">
        <v>261</v>
      </c>
      <c r="H146" s="133">
        <v>13</v>
      </c>
      <c r="I146" s="134"/>
      <c r="J146" s="135">
        <f>ROUND(I146*H146,2)</f>
        <v>0</v>
      </c>
      <c r="K146" s="131" t="s">
        <v>184</v>
      </c>
      <c r="L146" s="33"/>
      <c r="M146" s="136" t="s">
        <v>3</v>
      </c>
      <c r="N146" s="137" t="s">
        <v>48</v>
      </c>
      <c r="P146" s="138">
        <f>O146*H146</f>
        <v>0</v>
      </c>
      <c r="Q146" s="138">
        <v>0</v>
      </c>
      <c r="R146" s="138">
        <f>Q146*H146</f>
        <v>0</v>
      </c>
      <c r="S146" s="138">
        <v>0.00156</v>
      </c>
      <c r="T146" s="139">
        <f>S146*H146</f>
        <v>0.02028</v>
      </c>
      <c r="AR146" s="140" t="s">
        <v>237</v>
      </c>
      <c r="AT146" s="140" t="s">
        <v>180</v>
      </c>
      <c r="AU146" s="140" t="s">
        <v>87</v>
      </c>
      <c r="AY146" s="18" t="s">
        <v>177</v>
      </c>
      <c r="BE146" s="141">
        <f>IF(N146="základní",J146,0)</f>
        <v>0</v>
      </c>
      <c r="BF146" s="141">
        <f>IF(N146="snížená",J146,0)</f>
        <v>0</v>
      </c>
      <c r="BG146" s="141">
        <f>IF(N146="zákl. přenesená",J146,0)</f>
        <v>0</v>
      </c>
      <c r="BH146" s="141">
        <f>IF(N146="sníž. přenesená",J146,0)</f>
        <v>0</v>
      </c>
      <c r="BI146" s="141">
        <f>IF(N146="nulová",J146,0)</f>
        <v>0</v>
      </c>
      <c r="BJ146" s="18" t="s">
        <v>85</v>
      </c>
      <c r="BK146" s="141">
        <f>ROUND(I146*H146,2)</f>
        <v>0</v>
      </c>
      <c r="BL146" s="18" t="s">
        <v>237</v>
      </c>
      <c r="BM146" s="140" t="s">
        <v>280</v>
      </c>
    </row>
    <row r="147" spans="2:47" s="1" customFormat="1" ht="11.25">
      <c r="B147" s="33"/>
      <c r="D147" s="142" t="s">
        <v>187</v>
      </c>
      <c r="F147" s="143" t="s">
        <v>281</v>
      </c>
      <c r="I147" s="144"/>
      <c r="L147" s="33"/>
      <c r="M147" s="145"/>
      <c r="T147" s="54"/>
      <c r="AT147" s="18" t="s">
        <v>187</v>
      </c>
      <c r="AU147" s="18" t="s">
        <v>87</v>
      </c>
    </row>
    <row r="148" spans="2:47" s="1" customFormat="1" ht="11.25">
      <c r="B148" s="33"/>
      <c r="D148" s="146" t="s">
        <v>189</v>
      </c>
      <c r="F148" s="147" t="s">
        <v>282</v>
      </c>
      <c r="I148" s="144"/>
      <c r="L148" s="33"/>
      <c r="M148" s="145"/>
      <c r="T148" s="54"/>
      <c r="AT148" s="18" t="s">
        <v>189</v>
      </c>
      <c r="AU148" s="18" t="s">
        <v>87</v>
      </c>
    </row>
    <row r="149" spans="2:65" s="1" customFormat="1" ht="16.5" customHeight="1">
      <c r="B149" s="128"/>
      <c r="C149" s="129" t="s">
        <v>283</v>
      </c>
      <c r="D149" s="129" t="s">
        <v>180</v>
      </c>
      <c r="E149" s="130" t="s">
        <v>284</v>
      </c>
      <c r="F149" s="131" t="s">
        <v>285</v>
      </c>
      <c r="G149" s="132" t="s">
        <v>236</v>
      </c>
      <c r="H149" s="133">
        <v>19</v>
      </c>
      <c r="I149" s="134"/>
      <c r="J149" s="135">
        <f>ROUND(I149*H149,2)</f>
        <v>0</v>
      </c>
      <c r="K149" s="131" t="s">
        <v>184</v>
      </c>
      <c r="L149" s="33"/>
      <c r="M149" s="136" t="s">
        <v>3</v>
      </c>
      <c r="N149" s="137" t="s">
        <v>48</v>
      </c>
      <c r="P149" s="138">
        <f>O149*H149</f>
        <v>0</v>
      </c>
      <c r="Q149" s="138">
        <v>0</v>
      </c>
      <c r="R149" s="138">
        <f>Q149*H149</f>
        <v>0</v>
      </c>
      <c r="S149" s="138">
        <v>0.00225</v>
      </c>
      <c r="T149" s="139">
        <f>S149*H149</f>
        <v>0.042749999999999996</v>
      </c>
      <c r="AR149" s="140" t="s">
        <v>237</v>
      </c>
      <c r="AT149" s="140" t="s">
        <v>180</v>
      </c>
      <c r="AU149" s="140" t="s">
        <v>87</v>
      </c>
      <c r="AY149" s="18" t="s">
        <v>177</v>
      </c>
      <c r="BE149" s="141">
        <f>IF(N149="základní",J149,0)</f>
        <v>0</v>
      </c>
      <c r="BF149" s="141">
        <f>IF(N149="snížená",J149,0)</f>
        <v>0</v>
      </c>
      <c r="BG149" s="141">
        <f>IF(N149="zákl. přenesená",J149,0)</f>
        <v>0</v>
      </c>
      <c r="BH149" s="141">
        <f>IF(N149="sníž. přenesená",J149,0)</f>
        <v>0</v>
      </c>
      <c r="BI149" s="141">
        <f>IF(N149="nulová",J149,0)</f>
        <v>0</v>
      </c>
      <c r="BJ149" s="18" t="s">
        <v>85</v>
      </c>
      <c r="BK149" s="141">
        <f>ROUND(I149*H149,2)</f>
        <v>0</v>
      </c>
      <c r="BL149" s="18" t="s">
        <v>237</v>
      </c>
      <c r="BM149" s="140" t="s">
        <v>286</v>
      </c>
    </row>
    <row r="150" spans="2:47" s="1" customFormat="1" ht="11.25">
      <c r="B150" s="33"/>
      <c r="D150" s="142" t="s">
        <v>187</v>
      </c>
      <c r="F150" s="143" t="s">
        <v>287</v>
      </c>
      <c r="I150" s="144"/>
      <c r="L150" s="33"/>
      <c r="M150" s="145"/>
      <c r="T150" s="54"/>
      <c r="AT150" s="18" t="s">
        <v>187</v>
      </c>
      <c r="AU150" s="18" t="s">
        <v>87</v>
      </c>
    </row>
    <row r="151" spans="2:47" s="1" customFormat="1" ht="11.25">
      <c r="B151" s="33"/>
      <c r="D151" s="146" t="s">
        <v>189</v>
      </c>
      <c r="F151" s="147" t="s">
        <v>288</v>
      </c>
      <c r="I151" s="144"/>
      <c r="L151" s="33"/>
      <c r="M151" s="145"/>
      <c r="T151" s="54"/>
      <c r="AT151" s="18" t="s">
        <v>189</v>
      </c>
      <c r="AU151" s="18" t="s">
        <v>87</v>
      </c>
    </row>
    <row r="152" spans="2:51" s="12" customFormat="1" ht="11.25">
      <c r="B152" s="149"/>
      <c r="D152" s="142" t="s">
        <v>193</v>
      </c>
      <c r="E152" s="150" t="s">
        <v>3</v>
      </c>
      <c r="F152" s="151" t="s">
        <v>289</v>
      </c>
      <c r="H152" s="152">
        <v>18</v>
      </c>
      <c r="I152" s="153"/>
      <c r="L152" s="149"/>
      <c r="M152" s="154"/>
      <c r="T152" s="155"/>
      <c r="AT152" s="150" t="s">
        <v>193</v>
      </c>
      <c r="AU152" s="150" t="s">
        <v>87</v>
      </c>
      <c r="AV152" s="12" t="s">
        <v>87</v>
      </c>
      <c r="AW152" s="12" t="s">
        <v>36</v>
      </c>
      <c r="AX152" s="12" t="s">
        <v>77</v>
      </c>
      <c r="AY152" s="150" t="s">
        <v>177</v>
      </c>
    </row>
    <row r="153" spans="2:51" s="12" customFormat="1" ht="11.25">
      <c r="B153" s="149"/>
      <c r="D153" s="142" t="s">
        <v>193</v>
      </c>
      <c r="E153" s="150" t="s">
        <v>3</v>
      </c>
      <c r="F153" s="151" t="s">
        <v>85</v>
      </c>
      <c r="H153" s="152">
        <v>1</v>
      </c>
      <c r="I153" s="153"/>
      <c r="L153" s="149"/>
      <c r="M153" s="154"/>
      <c r="T153" s="155"/>
      <c r="AT153" s="150" t="s">
        <v>193</v>
      </c>
      <c r="AU153" s="150" t="s">
        <v>87</v>
      </c>
      <c r="AV153" s="12" t="s">
        <v>87</v>
      </c>
      <c r="AW153" s="12" t="s">
        <v>36</v>
      </c>
      <c r="AX153" s="12" t="s">
        <v>77</v>
      </c>
      <c r="AY153" s="150" t="s">
        <v>177</v>
      </c>
    </row>
    <row r="154" spans="2:51" s="15" customFormat="1" ht="11.25">
      <c r="B154" s="169"/>
      <c r="D154" s="142" t="s">
        <v>193</v>
      </c>
      <c r="E154" s="170" t="s">
        <v>3</v>
      </c>
      <c r="F154" s="171" t="s">
        <v>201</v>
      </c>
      <c r="H154" s="172">
        <v>19</v>
      </c>
      <c r="I154" s="173"/>
      <c r="L154" s="169"/>
      <c r="M154" s="174"/>
      <c r="T154" s="175"/>
      <c r="AT154" s="170" t="s">
        <v>193</v>
      </c>
      <c r="AU154" s="170" t="s">
        <v>87</v>
      </c>
      <c r="AV154" s="15" t="s">
        <v>185</v>
      </c>
      <c r="AW154" s="15" t="s">
        <v>36</v>
      </c>
      <c r="AX154" s="15" t="s">
        <v>85</v>
      </c>
      <c r="AY154" s="170" t="s">
        <v>177</v>
      </c>
    </row>
    <row r="155" spans="2:65" s="1" customFormat="1" ht="16.5" customHeight="1">
      <c r="B155" s="128"/>
      <c r="C155" s="129" t="s">
        <v>9</v>
      </c>
      <c r="D155" s="129" t="s">
        <v>180</v>
      </c>
      <c r="E155" s="130" t="s">
        <v>290</v>
      </c>
      <c r="F155" s="131" t="s">
        <v>291</v>
      </c>
      <c r="G155" s="132" t="s">
        <v>236</v>
      </c>
      <c r="H155" s="133">
        <v>13</v>
      </c>
      <c r="I155" s="134"/>
      <c r="J155" s="135">
        <f>ROUND(I155*H155,2)</f>
        <v>0</v>
      </c>
      <c r="K155" s="131" t="s">
        <v>184</v>
      </c>
      <c r="L155" s="33"/>
      <c r="M155" s="136" t="s">
        <v>3</v>
      </c>
      <c r="N155" s="137" t="s">
        <v>48</v>
      </c>
      <c r="P155" s="138">
        <f>O155*H155</f>
        <v>0</v>
      </c>
      <c r="Q155" s="138">
        <v>0</v>
      </c>
      <c r="R155" s="138">
        <f>Q155*H155</f>
        <v>0</v>
      </c>
      <c r="S155" s="138">
        <v>0.00085</v>
      </c>
      <c r="T155" s="139">
        <f>S155*H155</f>
        <v>0.011049999999999999</v>
      </c>
      <c r="AR155" s="140" t="s">
        <v>237</v>
      </c>
      <c r="AT155" s="140" t="s">
        <v>180</v>
      </c>
      <c r="AU155" s="140" t="s">
        <v>87</v>
      </c>
      <c r="AY155" s="18" t="s">
        <v>177</v>
      </c>
      <c r="BE155" s="141">
        <f>IF(N155="základní",J155,0)</f>
        <v>0</v>
      </c>
      <c r="BF155" s="141">
        <f>IF(N155="snížená",J155,0)</f>
        <v>0</v>
      </c>
      <c r="BG155" s="141">
        <f>IF(N155="zákl. přenesená",J155,0)</f>
        <v>0</v>
      </c>
      <c r="BH155" s="141">
        <f>IF(N155="sníž. přenesená",J155,0)</f>
        <v>0</v>
      </c>
      <c r="BI155" s="141">
        <f>IF(N155="nulová",J155,0)</f>
        <v>0</v>
      </c>
      <c r="BJ155" s="18" t="s">
        <v>85</v>
      </c>
      <c r="BK155" s="141">
        <f>ROUND(I155*H155,2)</f>
        <v>0</v>
      </c>
      <c r="BL155" s="18" t="s">
        <v>237</v>
      </c>
      <c r="BM155" s="140" t="s">
        <v>292</v>
      </c>
    </row>
    <row r="156" spans="2:47" s="1" customFormat="1" ht="19.5">
      <c r="B156" s="33"/>
      <c r="D156" s="142" t="s">
        <v>187</v>
      </c>
      <c r="F156" s="143" t="s">
        <v>293</v>
      </c>
      <c r="I156" s="144"/>
      <c r="L156" s="33"/>
      <c r="M156" s="145"/>
      <c r="T156" s="54"/>
      <c r="AT156" s="18" t="s">
        <v>187</v>
      </c>
      <c r="AU156" s="18" t="s">
        <v>87</v>
      </c>
    </row>
    <row r="157" spans="2:47" s="1" customFormat="1" ht="11.25">
      <c r="B157" s="33"/>
      <c r="D157" s="146" t="s">
        <v>189</v>
      </c>
      <c r="F157" s="147" t="s">
        <v>294</v>
      </c>
      <c r="I157" s="144"/>
      <c r="L157" s="33"/>
      <c r="M157" s="145"/>
      <c r="T157" s="54"/>
      <c r="AT157" s="18" t="s">
        <v>189</v>
      </c>
      <c r="AU157" s="18" t="s">
        <v>87</v>
      </c>
    </row>
    <row r="158" spans="2:63" s="11" customFormat="1" ht="22.9" customHeight="1">
      <c r="B158" s="116"/>
      <c r="D158" s="117" t="s">
        <v>76</v>
      </c>
      <c r="E158" s="126" t="s">
        <v>295</v>
      </c>
      <c r="F158" s="126" t="s">
        <v>296</v>
      </c>
      <c r="I158" s="119"/>
      <c r="J158" s="127">
        <f>BK158</f>
        <v>0</v>
      </c>
      <c r="L158" s="116"/>
      <c r="M158" s="121"/>
      <c r="P158" s="122">
        <f>SUM(P159:P160)</f>
        <v>0</v>
      </c>
      <c r="R158" s="122">
        <f>SUM(R159:R160)</f>
        <v>0</v>
      </c>
      <c r="T158" s="123">
        <f>SUM(T159:T160)</f>
        <v>0</v>
      </c>
      <c r="AR158" s="117" t="s">
        <v>87</v>
      </c>
      <c r="AT158" s="124" t="s">
        <v>76</v>
      </c>
      <c r="AU158" s="124" t="s">
        <v>85</v>
      </c>
      <c r="AY158" s="117" t="s">
        <v>177</v>
      </c>
      <c r="BK158" s="125">
        <f>SUM(BK159:BK160)</f>
        <v>0</v>
      </c>
    </row>
    <row r="159" spans="2:65" s="1" customFormat="1" ht="16.5" customHeight="1">
      <c r="B159" s="128"/>
      <c r="C159" s="129" t="s">
        <v>237</v>
      </c>
      <c r="D159" s="129" t="s">
        <v>180</v>
      </c>
      <c r="E159" s="130" t="s">
        <v>297</v>
      </c>
      <c r="F159" s="131" t="s">
        <v>298</v>
      </c>
      <c r="G159" s="132" t="s">
        <v>243</v>
      </c>
      <c r="H159" s="133">
        <v>1</v>
      </c>
      <c r="I159" s="134"/>
      <c r="J159" s="135">
        <f>ROUND(I159*H159,2)</f>
        <v>0</v>
      </c>
      <c r="K159" s="131" t="s">
        <v>244</v>
      </c>
      <c r="L159" s="33"/>
      <c r="M159" s="136" t="s">
        <v>3</v>
      </c>
      <c r="N159" s="137" t="s">
        <v>48</v>
      </c>
      <c r="P159" s="138">
        <f>O159*H159</f>
        <v>0</v>
      </c>
      <c r="Q159" s="138">
        <v>0</v>
      </c>
      <c r="R159" s="138">
        <f>Q159*H159</f>
        <v>0</v>
      </c>
      <c r="S159" s="138">
        <v>0</v>
      </c>
      <c r="T159" s="139">
        <f>S159*H159</f>
        <v>0</v>
      </c>
      <c r="AR159" s="140" t="s">
        <v>237</v>
      </c>
      <c r="AT159" s="140" t="s">
        <v>180</v>
      </c>
      <c r="AU159" s="140" t="s">
        <v>87</v>
      </c>
      <c r="AY159" s="18" t="s">
        <v>177</v>
      </c>
      <c r="BE159" s="141">
        <f>IF(N159="základní",J159,0)</f>
        <v>0</v>
      </c>
      <c r="BF159" s="141">
        <f>IF(N159="snížená",J159,0)</f>
        <v>0</v>
      </c>
      <c r="BG159" s="141">
        <f>IF(N159="zákl. přenesená",J159,0)</f>
        <v>0</v>
      </c>
      <c r="BH159" s="141">
        <f>IF(N159="sníž. přenesená",J159,0)</f>
        <v>0</v>
      </c>
      <c r="BI159" s="141">
        <f>IF(N159="nulová",J159,0)</f>
        <v>0</v>
      </c>
      <c r="BJ159" s="18" t="s">
        <v>85</v>
      </c>
      <c r="BK159" s="141">
        <f>ROUND(I159*H159,2)</f>
        <v>0</v>
      </c>
      <c r="BL159" s="18" t="s">
        <v>237</v>
      </c>
      <c r="BM159" s="140" t="s">
        <v>299</v>
      </c>
    </row>
    <row r="160" spans="2:47" s="1" customFormat="1" ht="11.25">
      <c r="B160" s="33"/>
      <c r="D160" s="142" t="s">
        <v>187</v>
      </c>
      <c r="F160" s="143" t="s">
        <v>298</v>
      </c>
      <c r="I160" s="144"/>
      <c r="L160" s="33"/>
      <c r="M160" s="145"/>
      <c r="T160" s="54"/>
      <c r="AT160" s="18" t="s">
        <v>187</v>
      </c>
      <c r="AU160" s="18" t="s">
        <v>87</v>
      </c>
    </row>
    <row r="161" spans="2:63" s="11" customFormat="1" ht="22.9" customHeight="1">
      <c r="B161" s="116"/>
      <c r="D161" s="117" t="s">
        <v>76</v>
      </c>
      <c r="E161" s="126" t="s">
        <v>300</v>
      </c>
      <c r="F161" s="126" t="s">
        <v>301</v>
      </c>
      <c r="I161" s="119"/>
      <c r="J161" s="127">
        <f>BK161</f>
        <v>0</v>
      </c>
      <c r="L161" s="116"/>
      <c r="M161" s="121"/>
      <c r="P161" s="122">
        <f>SUM(P162:P170)</f>
        <v>0</v>
      </c>
      <c r="R161" s="122">
        <f>SUM(R162:R170)</f>
        <v>0</v>
      </c>
      <c r="T161" s="123">
        <f>SUM(T162:T170)</f>
        <v>0</v>
      </c>
      <c r="AR161" s="117" t="s">
        <v>87</v>
      </c>
      <c r="AT161" s="124" t="s">
        <v>76</v>
      </c>
      <c r="AU161" s="124" t="s">
        <v>85</v>
      </c>
      <c r="AY161" s="117" t="s">
        <v>177</v>
      </c>
      <c r="BK161" s="125">
        <f>SUM(BK162:BK170)</f>
        <v>0</v>
      </c>
    </row>
    <row r="162" spans="2:65" s="1" customFormat="1" ht="24.2" customHeight="1">
      <c r="B162" s="128"/>
      <c r="C162" s="129" t="s">
        <v>302</v>
      </c>
      <c r="D162" s="129" t="s">
        <v>180</v>
      </c>
      <c r="E162" s="130" t="s">
        <v>303</v>
      </c>
      <c r="F162" s="131" t="s">
        <v>304</v>
      </c>
      <c r="G162" s="132" t="s">
        <v>305</v>
      </c>
      <c r="H162" s="133">
        <v>576</v>
      </c>
      <c r="I162" s="134"/>
      <c r="J162" s="135">
        <f>ROUND(I162*H162,2)</f>
        <v>0</v>
      </c>
      <c r="K162" s="131" t="s">
        <v>184</v>
      </c>
      <c r="L162" s="33"/>
      <c r="M162" s="136" t="s">
        <v>3</v>
      </c>
      <c r="N162" s="137" t="s">
        <v>48</v>
      </c>
      <c r="P162" s="138">
        <f>O162*H162</f>
        <v>0</v>
      </c>
      <c r="Q162" s="138">
        <v>0</v>
      </c>
      <c r="R162" s="138">
        <f>Q162*H162</f>
        <v>0</v>
      </c>
      <c r="S162" s="138">
        <v>0</v>
      </c>
      <c r="T162" s="139">
        <f>S162*H162</f>
        <v>0</v>
      </c>
      <c r="AR162" s="140" t="s">
        <v>237</v>
      </c>
      <c r="AT162" s="140" t="s">
        <v>180</v>
      </c>
      <c r="AU162" s="140" t="s">
        <v>87</v>
      </c>
      <c r="AY162" s="18" t="s">
        <v>177</v>
      </c>
      <c r="BE162" s="141">
        <f>IF(N162="základní",J162,0)</f>
        <v>0</v>
      </c>
      <c r="BF162" s="141">
        <f>IF(N162="snížená",J162,0)</f>
        <v>0</v>
      </c>
      <c r="BG162" s="141">
        <f>IF(N162="zákl. přenesená",J162,0)</f>
        <v>0</v>
      </c>
      <c r="BH162" s="141">
        <f>IF(N162="sníž. přenesená",J162,0)</f>
        <v>0</v>
      </c>
      <c r="BI162" s="141">
        <f>IF(N162="nulová",J162,0)</f>
        <v>0</v>
      </c>
      <c r="BJ162" s="18" t="s">
        <v>85</v>
      </c>
      <c r="BK162" s="141">
        <f>ROUND(I162*H162,2)</f>
        <v>0</v>
      </c>
      <c r="BL162" s="18" t="s">
        <v>237</v>
      </c>
      <c r="BM162" s="140" t="s">
        <v>306</v>
      </c>
    </row>
    <row r="163" spans="2:47" s="1" customFormat="1" ht="19.5">
      <c r="B163" s="33"/>
      <c r="D163" s="142" t="s">
        <v>187</v>
      </c>
      <c r="F163" s="143" t="s">
        <v>307</v>
      </c>
      <c r="I163" s="144"/>
      <c r="L163" s="33"/>
      <c r="M163" s="145"/>
      <c r="T163" s="54"/>
      <c r="AT163" s="18" t="s">
        <v>187</v>
      </c>
      <c r="AU163" s="18" t="s">
        <v>87</v>
      </c>
    </row>
    <row r="164" spans="2:47" s="1" customFormat="1" ht="11.25">
      <c r="B164" s="33"/>
      <c r="D164" s="146" t="s">
        <v>189</v>
      </c>
      <c r="F164" s="147" t="s">
        <v>308</v>
      </c>
      <c r="I164" s="144"/>
      <c r="L164" s="33"/>
      <c r="M164" s="145"/>
      <c r="T164" s="54"/>
      <c r="AT164" s="18" t="s">
        <v>189</v>
      </c>
      <c r="AU164" s="18" t="s">
        <v>87</v>
      </c>
    </row>
    <row r="165" spans="2:51" s="13" customFormat="1" ht="11.25">
      <c r="B165" s="156"/>
      <c r="D165" s="142" t="s">
        <v>193</v>
      </c>
      <c r="E165" s="157" t="s">
        <v>3</v>
      </c>
      <c r="F165" s="158" t="s">
        <v>309</v>
      </c>
      <c r="H165" s="157" t="s">
        <v>3</v>
      </c>
      <c r="I165" s="159"/>
      <c r="L165" s="156"/>
      <c r="M165" s="160"/>
      <c r="T165" s="161"/>
      <c r="AT165" s="157" t="s">
        <v>193</v>
      </c>
      <c r="AU165" s="157" t="s">
        <v>87</v>
      </c>
      <c r="AV165" s="13" t="s">
        <v>85</v>
      </c>
      <c r="AW165" s="13" t="s">
        <v>36</v>
      </c>
      <c r="AX165" s="13" t="s">
        <v>77</v>
      </c>
      <c r="AY165" s="157" t="s">
        <v>177</v>
      </c>
    </row>
    <row r="166" spans="2:51" s="12" customFormat="1" ht="11.25">
      <c r="B166" s="149"/>
      <c r="D166" s="142" t="s">
        <v>193</v>
      </c>
      <c r="E166" s="150" t="s">
        <v>3</v>
      </c>
      <c r="F166" s="151" t="s">
        <v>310</v>
      </c>
      <c r="H166" s="152">
        <v>16</v>
      </c>
      <c r="I166" s="153"/>
      <c r="L166" s="149"/>
      <c r="M166" s="154"/>
      <c r="T166" s="155"/>
      <c r="AT166" s="150" t="s">
        <v>193</v>
      </c>
      <c r="AU166" s="150" t="s">
        <v>87</v>
      </c>
      <c r="AV166" s="12" t="s">
        <v>87</v>
      </c>
      <c r="AW166" s="12" t="s">
        <v>36</v>
      </c>
      <c r="AX166" s="12" t="s">
        <v>77</v>
      </c>
      <c r="AY166" s="150" t="s">
        <v>177</v>
      </c>
    </row>
    <row r="167" spans="2:51" s="12" customFormat="1" ht="11.25">
      <c r="B167" s="149"/>
      <c r="D167" s="142" t="s">
        <v>193</v>
      </c>
      <c r="E167" s="150" t="s">
        <v>3</v>
      </c>
      <c r="F167" s="151" t="s">
        <v>311</v>
      </c>
      <c r="H167" s="152">
        <v>200</v>
      </c>
      <c r="I167" s="153"/>
      <c r="L167" s="149"/>
      <c r="M167" s="154"/>
      <c r="T167" s="155"/>
      <c r="AT167" s="150" t="s">
        <v>193</v>
      </c>
      <c r="AU167" s="150" t="s">
        <v>87</v>
      </c>
      <c r="AV167" s="12" t="s">
        <v>87</v>
      </c>
      <c r="AW167" s="12" t="s">
        <v>36</v>
      </c>
      <c r="AX167" s="12" t="s">
        <v>77</v>
      </c>
      <c r="AY167" s="150" t="s">
        <v>177</v>
      </c>
    </row>
    <row r="168" spans="2:51" s="12" customFormat="1" ht="11.25">
      <c r="B168" s="149"/>
      <c r="D168" s="142" t="s">
        <v>193</v>
      </c>
      <c r="E168" s="150" t="s">
        <v>3</v>
      </c>
      <c r="F168" s="151" t="s">
        <v>311</v>
      </c>
      <c r="H168" s="152">
        <v>200</v>
      </c>
      <c r="I168" s="153"/>
      <c r="L168" s="149"/>
      <c r="M168" s="154"/>
      <c r="T168" s="155"/>
      <c r="AT168" s="150" t="s">
        <v>193</v>
      </c>
      <c r="AU168" s="150" t="s">
        <v>87</v>
      </c>
      <c r="AV168" s="12" t="s">
        <v>87</v>
      </c>
      <c r="AW168" s="12" t="s">
        <v>36</v>
      </c>
      <c r="AX168" s="12" t="s">
        <v>77</v>
      </c>
      <c r="AY168" s="150" t="s">
        <v>177</v>
      </c>
    </row>
    <row r="169" spans="2:51" s="12" customFormat="1" ht="11.25">
      <c r="B169" s="149"/>
      <c r="D169" s="142" t="s">
        <v>193</v>
      </c>
      <c r="E169" s="150" t="s">
        <v>3</v>
      </c>
      <c r="F169" s="151" t="s">
        <v>312</v>
      </c>
      <c r="H169" s="152">
        <v>160</v>
      </c>
      <c r="I169" s="153"/>
      <c r="L169" s="149"/>
      <c r="M169" s="154"/>
      <c r="T169" s="155"/>
      <c r="AT169" s="150" t="s">
        <v>193</v>
      </c>
      <c r="AU169" s="150" t="s">
        <v>87</v>
      </c>
      <c r="AV169" s="12" t="s">
        <v>87</v>
      </c>
      <c r="AW169" s="12" t="s">
        <v>36</v>
      </c>
      <c r="AX169" s="12" t="s">
        <v>77</v>
      </c>
      <c r="AY169" s="150" t="s">
        <v>177</v>
      </c>
    </row>
    <row r="170" spans="2:51" s="15" customFormat="1" ht="11.25">
      <c r="B170" s="169"/>
      <c r="D170" s="142" t="s">
        <v>193</v>
      </c>
      <c r="E170" s="170" t="s">
        <v>3</v>
      </c>
      <c r="F170" s="171" t="s">
        <v>201</v>
      </c>
      <c r="H170" s="172">
        <v>576</v>
      </c>
      <c r="I170" s="173"/>
      <c r="L170" s="169"/>
      <c r="M170" s="174"/>
      <c r="T170" s="175"/>
      <c r="AT170" s="170" t="s">
        <v>193</v>
      </c>
      <c r="AU170" s="170" t="s">
        <v>87</v>
      </c>
      <c r="AV170" s="15" t="s">
        <v>185</v>
      </c>
      <c r="AW170" s="15" t="s">
        <v>36</v>
      </c>
      <c r="AX170" s="15" t="s">
        <v>85</v>
      </c>
      <c r="AY170" s="170" t="s">
        <v>177</v>
      </c>
    </row>
    <row r="171" spans="2:63" s="11" customFormat="1" ht="25.9" customHeight="1">
      <c r="B171" s="116"/>
      <c r="D171" s="117" t="s">
        <v>76</v>
      </c>
      <c r="E171" s="118" t="s">
        <v>313</v>
      </c>
      <c r="F171" s="118" t="s">
        <v>314</v>
      </c>
      <c r="I171" s="119"/>
      <c r="J171" s="120">
        <f>BK171</f>
        <v>0</v>
      </c>
      <c r="L171" s="116"/>
      <c r="M171" s="121"/>
      <c r="P171" s="122">
        <f>SUM(P172:P176)</f>
        <v>0</v>
      </c>
      <c r="R171" s="122">
        <f>SUM(R172:R176)</f>
        <v>0</v>
      </c>
      <c r="T171" s="123">
        <f>SUM(T172:T176)</f>
        <v>0</v>
      </c>
      <c r="AR171" s="117" t="s">
        <v>185</v>
      </c>
      <c r="AT171" s="124" t="s">
        <v>76</v>
      </c>
      <c r="AU171" s="124" t="s">
        <v>77</v>
      </c>
      <c r="AY171" s="117" t="s">
        <v>177</v>
      </c>
      <c r="BK171" s="125">
        <f>SUM(BK172:BK176)</f>
        <v>0</v>
      </c>
    </row>
    <row r="172" spans="2:65" s="1" customFormat="1" ht="21.75" customHeight="1">
      <c r="B172" s="128"/>
      <c r="C172" s="129" t="s">
        <v>315</v>
      </c>
      <c r="D172" s="129" t="s">
        <v>180</v>
      </c>
      <c r="E172" s="130" t="s">
        <v>316</v>
      </c>
      <c r="F172" s="131" t="s">
        <v>317</v>
      </c>
      <c r="G172" s="132" t="s">
        <v>305</v>
      </c>
      <c r="H172" s="133">
        <v>128</v>
      </c>
      <c r="I172" s="134"/>
      <c r="J172" s="135">
        <f>ROUND(I172*H172,2)</f>
        <v>0</v>
      </c>
      <c r="K172" s="131" t="s">
        <v>184</v>
      </c>
      <c r="L172" s="33"/>
      <c r="M172" s="136" t="s">
        <v>3</v>
      </c>
      <c r="N172" s="137" t="s">
        <v>48</v>
      </c>
      <c r="P172" s="138">
        <f>O172*H172</f>
        <v>0</v>
      </c>
      <c r="Q172" s="138">
        <v>0</v>
      </c>
      <c r="R172" s="138">
        <f>Q172*H172</f>
        <v>0</v>
      </c>
      <c r="S172" s="138">
        <v>0</v>
      </c>
      <c r="T172" s="139">
        <f>S172*H172</f>
        <v>0</v>
      </c>
      <c r="AR172" s="140" t="s">
        <v>318</v>
      </c>
      <c r="AT172" s="140" t="s">
        <v>180</v>
      </c>
      <c r="AU172" s="140" t="s">
        <v>85</v>
      </c>
      <c r="AY172" s="18" t="s">
        <v>177</v>
      </c>
      <c r="BE172" s="141">
        <f>IF(N172="základní",J172,0)</f>
        <v>0</v>
      </c>
      <c r="BF172" s="141">
        <f>IF(N172="snížená",J172,0)</f>
        <v>0</v>
      </c>
      <c r="BG172" s="141">
        <f>IF(N172="zákl. přenesená",J172,0)</f>
        <v>0</v>
      </c>
      <c r="BH172" s="141">
        <f>IF(N172="sníž. přenesená",J172,0)</f>
        <v>0</v>
      </c>
      <c r="BI172" s="141">
        <f>IF(N172="nulová",J172,0)</f>
        <v>0</v>
      </c>
      <c r="BJ172" s="18" t="s">
        <v>85</v>
      </c>
      <c r="BK172" s="141">
        <f>ROUND(I172*H172,2)</f>
        <v>0</v>
      </c>
      <c r="BL172" s="18" t="s">
        <v>318</v>
      </c>
      <c r="BM172" s="140" t="s">
        <v>319</v>
      </c>
    </row>
    <row r="173" spans="2:47" s="1" customFormat="1" ht="19.5">
      <c r="B173" s="33"/>
      <c r="D173" s="142" t="s">
        <v>187</v>
      </c>
      <c r="F173" s="143" t="s">
        <v>320</v>
      </c>
      <c r="I173" s="144"/>
      <c r="L173" s="33"/>
      <c r="M173" s="145"/>
      <c r="T173" s="54"/>
      <c r="AT173" s="18" t="s">
        <v>187</v>
      </c>
      <c r="AU173" s="18" t="s">
        <v>85</v>
      </c>
    </row>
    <row r="174" spans="2:47" s="1" customFormat="1" ht="11.25">
      <c r="B174" s="33"/>
      <c r="D174" s="146" t="s">
        <v>189</v>
      </c>
      <c r="F174" s="147" t="s">
        <v>321</v>
      </c>
      <c r="I174" s="144"/>
      <c r="L174" s="33"/>
      <c r="M174" s="145"/>
      <c r="T174" s="54"/>
      <c r="AT174" s="18" t="s">
        <v>189</v>
      </c>
      <c r="AU174" s="18" t="s">
        <v>85</v>
      </c>
    </row>
    <row r="175" spans="2:51" s="13" customFormat="1" ht="11.25">
      <c r="B175" s="156"/>
      <c r="D175" s="142" t="s">
        <v>193</v>
      </c>
      <c r="E175" s="157" t="s">
        <v>3</v>
      </c>
      <c r="F175" s="158" t="s">
        <v>322</v>
      </c>
      <c r="H175" s="157" t="s">
        <v>3</v>
      </c>
      <c r="I175" s="159"/>
      <c r="L175" s="156"/>
      <c r="M175" s="160"/>
      <c r="T175" s="161"/>
      <c r="AT175" s="157" t="s">
        <v>193</v>
      </c>
      <c r="AU175" s="157" t="s">
        <v>85</v>
      </c>
      <c r="AV175" s="13" t="s">
        <v>85</v>
      </c>
      <c r="AW175" s="13" t="s">
        <v>36</v>
      </c>
      <c r="AX175" s="13" t="s">
        <v>77</v>
      </c>
      <c r="AY175" s="157" t="s">
        <v>177</v>
      </c>
    </row>
    <row r="176" spans="2:51" s="12" customFormat="1" ht="11.25">
      <c r="B176" s="149"/>
      <c r="D176" s="142" t="s">
        <v>193</v>
      </c>
      <c r="E176" s="150" t="s">
        <v>3</v>
      </c>
      <c r="F176" s="151" t="s">
        <v>323</v>
      </c>
      <c r="H176" s="152">
        <v>128</v>
      </c>
      <c r="I176" s="153"/>
      <c r="L176" s="149"/>
      <c r="M176" s="176"/>
      <c r="N176" s="177"/>
      <c r="O176" s="177"/>
      <c r="P176" s="177"/>
      <c r="Q176" s="177"/>
      <c r="R176" s="177"/>
      <c r="S176" s="177"/>
      <c r="T176" s="178"/>
      <c r="AT176" s="150" t="s">
        <v>193</v>
      </c>
      <c r="AU176" s="150" t="s">
        <v>85</v>
      </c>
      <c r="AV176" s="12" t="s">
        <v>87</v>
      </c>
      <c r="AW176" s="12" t="s">
        <v>36</v>
      </c>
      <c r="AX176" s="12" t="s">
        <v>85</v>
      </c>
      <c r="AY176" s="150" t="s">
        <v>177</v>
      </c>
    </row>
    <row r="177" spans="2:12" s="1" customFormat="1" ht="6.95" customHeight="1">
      <c r="B177" s="42"/>
      <c r="C177" s="43"/>
      <c r="D177" s="43"/>
      <c r="E177" s="43"/>
      <c r="F177" s="43"/>
      <c r="G177" s="43"/>
      <c r="H177" s="43"/>
      <c r="I177" s="43"/>
      <c r="J177" s="43"/>
      <c r="K177" s="43"/>
      <c r="L177" s="33"/>
    </row>
  </sheetData>
  <autoFilter ref="C87:K176"/>
  <mergeCells count="9">
    <mergeCell ref="E50:H50"/>
    <mergeCell ref="E78:H78"/>
    <mergeCell ref="E80:H80"/>
    <mergeCell ref="L2:V2"/>
    <mergeCell ref="E7:H7"/>
    <mergeCell ref="E9:H9"/>
    <mergeCell ref="E18:H18"/>
    <mergeCell ref="E27:H27"/>
    <mergeCell ref="E48:H48"/>
  </mergeCells>
  <hyperlinks>
    <hyperlink ref="F93" r:id="rId1" display="https://podminky.urs.cz/item/CS_URS_2022_02/997013213"/>
    <hyperlink ref="F104" r:id="rId2" display="https://podminky.urs.cz/item/CS_URS_2022_02/997013219"/>
    <hyperlink ref="F109" r:id="rId3" display="https://podminky.urs.cz/item/CS_URS_2022_02/997013501"/>
    <hyperlink ref="F113" r:id="rId4" display="https://podminky.urs.cz/item/CS_URS_2022_02/997013509"/>
    <hyperlink ref="F122" r:id="rId5" display="https://podminky.urs.cz/item/CS_URS_2022_02/997013871"/>
    <hyperlink ref="F128" r:id="rId6" display="https://podminky.urs.cz/item/CS_URS_2022_02/721210813"/>
    <hyperlink ref="F139" r:id="rId7" display="https://podminky.urs.cz/item/CS_URS_2022_02/725110814"/>
    <hyperlink ref="F142" r:id="rId8" display="https://podminky.urs.cz/item/CS_URS_2022_02/725210821"/>
    <hyperlink ref="F145" r:id="rId9" display="https://podminky.urs.cz/item/CS_URS_2022_02/725210826"/>
    <hyperlink ref="F148" r:id="rId10" display="https://podminky.urs.cz/item/CS_URS_2022_02/725820801"/>
    <hyperlink ref="F151" r:id="rId11" display="https://podminky.urs.cz/item/CS_URS_2022_02/725840850"/>
    <hyperlink ref="F157" r:id="rId12" display="https://podminky.urs.cz/item/CS_URS_2022_02/725860811"/>
    <hyperlink ref="F164" r:id="rId13" display="https://podminky.urs.cz/item/CS_URS_2022_02/HZS3211"/>
    <hyperlink ref="F174" r:id="rId14" display="https://podminky.urs.cz/item/CS_URS_2022_02/HZS12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35A7-B094-4221-9673-90E7A79F655C}">
  <sheetPr>
    <pageSetUpPr fitToPage="1"/>
  </sheetPr>
  <dimension ref="B1:N65"/>
  <sheetViews>
    <sheetView zoomScale="115" zoomScaleNormal="115" workbookViewId="0" topLeftCell="A43">
      <selection activeCell="K63" sqref="K63"/>
    </sheetView>
  </sheetViews>
  <sheetFormatPr defaultColWidth="9.140625" defaultRowHeight="12"/>
  <cols>
    <col min="1" max="1" width="4.140625" style="327" customWidth="1"/>
    <col min="2" max="2" width="9.28125" style="327" customWidth="1"/>
    <col min="3" max="3" width="47.28125" style="327" customWidth="1"/>
    <col min="4" max="4" width="47.421875" style="327" customWidth="1"/>
    <col min="5" max="5" width="20.140625" style="327" customWidth="1"/>
    <col min="6" max="6" width="9.28125" style="333" customWidth="1"/>
    <col min="7" max="7" width="8.28125" style="340" customWidth="1"/>
    <col min="8" max="8" width="19.140625" style="327" customWidth="1"/>
    <col min="9" max="9" width="18.8515625" style="327" customWidth="1"/>
    <col min="10" max="10" width="9.28125" style="327" customWidth="1"/>
    <col min="11" max="11" width="7.00390625" style="327" customWidth="1"/>
    <col min="12" max="12" width="4.28125" style="327" customWidth="1"/>
    <col min="13" max="13" width="18.8515625" style="327" customWidth="1"/>
    <col min="14" max="14" width="15.140625" style="327" customWidth="1"/>
    <col min="15" max="15" width="9.28125" style="327" customWidth="1"/>
    <col min="16" max="16" width="21.7109375" style="327" customWidth="1"/>
    <col min="17" max="17" width="17.7109375" style="327" customWidth="1"/>
    <col min="18" max="256" width="9.28125" style="327" customWidth="1"/>
    <col min="257" max="257" width="4.140625" style="327" customWidth="1"/>
    <col min="258" max="258" width="9.28125" style="327" customWidth="1"/>
    <col min="259" max="259" width="47.28125" style="327" customWidth="1"/>
    <col min="260" max="260" width="47.421875" style="327" customWidth="1"/>
    <col min="261" max="261" width="20.140625" style="327" customWidth="1"/>
    <col min="262" max="262" width="9.28125" style="327" customWidth="1"/>
    <col min="263" max="263" width="8.28125" style="327" customWidth="1"/>
    <col min="264" max="264" width="19.140625" style="327" customWidth="1"/>
    <col min="265" max="265" width="18.8515625" style="327" customWidth="1"/>
    <col min="266" max="266" width="9.28125" style="327" customWidth="1"/>
    <col min="267" max="267" width="7.00390625" style="327" customWidth="1"/>
    <col min="268" max="268" width="4.28125" style="327" customWidth="1"/>
    <col min="269" max="269" width="18.8515625" style="327" customWidth="1"/>
    <col min="270" max="270" width="15.140625" style="327" customWidth="1"/>
    <col min="271" max="271" width="9.28125" style="327" customWidth="1"/>
    <col min="272" max="272" width="21.7109375" style="327" customWidth="1"/>
    <col min="273" max="273" width="17.7109375" style="327" customWidth="1"/>
    <col min="274" max="512" width="9.28125" style="327" customWidth="1"/>
    <col min="513" max="513" width="4.140625" style="327" customWidth="1"/>
    <col min="514" max="514" width="9.28125" style="327" customWidth="1"/>
    <col min="515" max="515" width="47.28125" style="327" customWidth="1"/>
    <col min="516" max="516" width="47.421875" style="327" customWidth="1"/>
    <col min="517" max="517" width="20.140625" style="327" customWidth="1"/>
    <col min="518" max="518" width="9.28125" style="327" customWidth="1"/>
    <col min="519" max="519" width="8.28125" style="327" customWidth="1"/>
    <col min="520" max="520" width="19.140625" style="327" customWidth="1"/>
    <col min="521" max="521" width="18.8515625" style="327" customWidth="1"/>
    <col min="522" max="522" width="9.28125" style="327" customWidth="1"/>
    <col min="523" max="523" width="7.00390625" style="327" customWidth="1"/>
    <col min="524" max="524" width="4.28125" style="327" customWidth="1"/>
    <col min="525" max="525" width="18.8515625" style="327" customWidth="1"/>
    <col min="526" max="526" width="15.140625" style="327" customWidth="1"/>
    <col min="527" max="527" width="9.28125" style="327" customWidth="1"/>
    <col min="528" max="528" width="21.7109375" style="327" customWidth="1"/>
    <col min="529" max="529" width="17.7109375" style="327" customWidth="1"/>
    <col min="530" max="768" width="9.28125" style="327" customWidth="1"/>
    <col min="769" max="769" width="4.140625" style="327" customWidth="1"/>
    <col min="770" max="770" width="9.28125" style="327" customWidth="1"/>
    <col min="771" max="771" width="47.28125" style="327" customWidth="1"/>
    <col min="772" max="772" width="47.421875" style="327" customWidth="1"/>
    <col min="773" max="773" width="20.140625" style="327" customWidth="1"/>
    <col min="774" max="774" width="9.28125" style="327" customWidth="1"/>
    <col min="775" max="775" width="8.28125" style="327" customWidth="1"/>
    <col min="776" max="776" width="19.140625" style="327" customWidth="1"/>
    <col min="777" max="777" width="18.8515625" style="327" customWidth="1"/>
    <col min="778" max="778" width="9.28125" style="327" customWidth="1"/>
    <col min="779" max="779" width="7.00390625" style="327" customWidth="1"/>
    <col min="780" max="780" width="4.28125" style="327" customWidth="1"/>
    <col min="781" max="781" width="18.8515625" style="327" customWidth="1"/>
    <col min="782" max="782" width="15.140625" style="327" customWidth="1"/>
    <col min="783" max="783" width="9.28125" style="327" customWidth="1"/>
    <col min="784" max="784" width="21.7109375" style="327" customWidth="1"/>
    <col min="785" max="785" width="17.7109375" style="327" customWidth="1"/>
    <col min="786" max="1024" width="9.28125" style="327" customWidth="1"/>
    <col min="1025" max="1025" width="4.140625" style="327" customWidth="1"/>
    <col min="1026" max="1026" width="9.28125" style="327" customWidth="1"/>
    <col min="1027" max="1027" width="47.28125" style="327" customWidth="1"/>
    <col min="1028" max="1028" width="47.421875" style="327" customWidth="1"/>
    <col min="1029" max="1029" width="20.140625" style="327" customWidth="1"/>
    <col min="1030" max="1030" width="9.28125" style="327" customWidth="1"/>
    <col min="1031" max="1031" width="8.28125" style="327" customWidth="1"/>
    <col min="1032" max="1032" width="19.140625" style="327" customWidth="1"/>
    <col min="1033" max="1033" width="18.8515625" style="327" customWidth="1"/>
    <col min="1034" max="1034" width="9.28125" style="327" customWidth="1"/>
    <col min="1035" max="1035" width="7.00390625" style="327" customWidth="1"/>
    <col min="1036" max="1036" width="4.28125" style="327" customWidth="1"/>
    <col min="1037" max="1037" width="18.8515625" style="327" customWidth="1"/>
    <col min="1038" max="1038" width="15.140625" style="327" customWidth="1"/>
    <col min="1039" max="1039" width="9.28125" style="327" customWidth="1"/>
    <col min="1040" max="1040" width="21.7109375" style="327" customWidth="1"/>
    <col min="1041" max="1041" width="17.7109375" style="327" customWidth="1"/>
    <col min="1042" max="1280" width="9.28125" style="327" customWidth="1"/>
    <col min="1281" max="1281" width="4.140625" style="327" customWidth="1"/>
    <col min="1282" max="1282" width="9.28125" style="327" customWidth="1"/>
    <col min="1283" max="1283" width="47.28125" style="327" customWidth="1"/>
    <col min="1284" max="1284" width="47.421875" style="327" customWidth="1"/>
    <col min="1285" max="1285" width="20.140625" style="327" customWidth="1"/>
    <col min="1286" max="1286" width="9.28125" style="327" customWidth="1"/>
    <col min="1287" max="1287" width="8.28125" style="327" customWidth="1"/>
    <col min="1288" max="1288" width="19.140625" style="327" customWidth="1"/>
    <col min="1289" max="1289" width="18.8515625" style="327" customWidth="1"/>
    <col min="1290" max="1290" width="9.28125" style="327" customWidth="1"/>
    <col min="1291" max="1291" width="7.00390625" style="327" customWidth="1"/>
    <col min="1292" max="1292" width="4.28125" style="327" customWidth="1"/>
    <col min="1293" max="1293" width="18.8515625" style="327" customWidth="1"/>
    <col min="1294" max="1294" width="15.140625" style="327" customWidth="1"/>
    <col min="1295" max="1295" width="9.28125" style="327" customWidth="1"/>
    <col min="1296" max="1296" width="21.7109375" style="327" customWidth="1"/>
    <col min="1297" max="1297" width="17.7109375" style="327" customWidth="1"/>
    <col min="1298" max="1536" width="9.28125" style="327" customWidth="1"/>
    <col min="1537" max="1537" width="4.140625" style="327" customWidth="1"/>
    <col min="1538" max="1538" width="9.28125" style="327" customWidth="1"/>
    <col min="1539" max="1539" width="47.28125" style="327" customWidth="1"/>
    <col min="1540" max="1540" width="47.421875" style="327" customWidth="1"/>
    <col min="1541" max="1541" width="20.140625" style="327" customWidth="1"/>
    <col min="1542" max="1542" width="9.28125" style="327" customWidth="1"/>
    <col min="1543" max="1543" width="8.28125" style="327" customWidth="1"/>
    <col min="1544" max="1544" width="19.140625" style="327" customWidth="1"/>
    <col min="1545" max="1545" width="18.8515625" style="327" customWidth="1"/>
    <col min="1546" max="1546" width="9.28125" style="327" customWidth="1"/>
    <col min="1547" max="1547" width="7.00390625" style="327" customWidth="1"/>
    <col min="1548" max="1548" width="4.28125" style="327" customWidth="1"/>
    <col min="1549" max="1549" width="18.8515625" style="327" customWidth="1"/>
    <col min="1550" max="1550" width="15.140625" style="327" customWidth="1"/>
    <col min="1551" max="1551" width="9.28125" style="327" customWidth="1"/>
    <col min="1552" max="1552" width="21.7109375" style="327" customWidth="1"/>
    <col min="1553" max="1553" width="17.7109375" style="327" customWidth="1"/>
    <col min="1554" max="1792" width="9.28125" style="327" customWidth="1"/>
    <col min="1793" max="1793" width="4.140625" style="327" customWidth="1"/>
    <col min="1794" max="1794" width="9.28125" style="327" customWidth="1"/>
    <col min="1795" max="1795" width="47.28125" style="327" customWidth="1"/>
    <col min="1796" max="1796" width="47.421875" style="327" customWidth="1"/>
    <col min="1797" max="1797" width="20.140625" style="327" customWidth="1"/>
    <col min="1798" max="1798" width="9.28125" style="327" customWidth="1"/>
    <col min="1799" max="1799" width="8.28125" style="327" customWidth="1"/>
    <col min="1800" max="1800" width="19.140625" style="327" customWidth="1"/>
    <col min="1801" max="1801" width="18.8515625" style="327" customWidth="1"/>
    <col min="1802" max="1802" width="9.28125" style="327" customWidth="1"/>
    <col min="1803" max="1803" width="7.00390625" style="327" customWidth="1"/>
    <col min="1804" max="1804" width="4.28125" style="327" customWidth="1"/>
    <col min="1805" max="1805" width="18.8515625" style="327" customWidth="1"/>
    <col min="1806" max="1806" width="15.140625" style="327" customWidth="1"/>
    <col min="1807" max="1807" width="9.28125" style="327" customWidth="1"/>
    <col min="1808" max="1808" width="21.7109375" style="327" customWidth="1"/>
    <col min="1809" max="1809" width="17.7109375" style="327" customWidth="1"/>
    <col min="1810" max="2048" width="9.28125" style="327" customWidth="1"/>
    <col min="2049" max="2049" width="4.140625" style="327" customWidth="1"/>
    <col min="2050" max="2050" width="9.28125" style="327" customWidth="1"/>
    <col min="2051" max="2051" width="47.28125" style="327" customWidth="1"/>
    <col min="2052" max="2052" width="47.421875" style="327" customWidth="1"/>
    <col min="2053" max="2053" width="20.140625" style="327" customWidth="1"/>
    <col min="2054" max="2054" width="9.28125" style="327" customWidth="1"/>
    <col min="2055" max="2055" width="8.28125" style="327" customWidth="1"/>
    <col min="2056" max="2056" width="19.140625" style="327" customWidth="1"/>
    <col min="2057" max="2057" width="18.8515625" style="327" customWidth="1"/>
    <col min="2058" max="2058" width="9.28125" style="327" customWidth="1"/>
    <col min="2059" max="2059" width="7.00390625" style="327" customWidth="1"/>
    <col min="2060" max="2060" width="4.28125" style="327" customWidth="1"/>
    <col min="2061" max="2061" width="18.8515625" style="327" customWidth="1"/>
    <col min="2062" max="2062" width="15.140625" style="327" customWidth="1"/>
    <col min="2063" max="2063" width="9.28125" style="327" customWidth="1"/>
    <col min="2064" max="2064" width="21.7109375" style="327" customWidth="1"/>
    <col min="2065" max="2065" width="17.7109375" style="327" customWidth="1"/>
    <col min="2066" max="2304" width="9.28125" style="327" customWidth="1"/>
    <col min="2305" max="2305" width="4.140625" style="327" customWidth="1"/>
    <col min="2306" max="2306" width="9.28125" style="327" customWidth="1"/>
    <col min="2307" max="2307" width="47.28125" style="327" customWidth="1"/>
    <col min="2308" max="2308" width="47.421875" style="327" customWidth="1"/>
    <col min="2309" max="2309" width="20.140625" style="327" customWidth="1"/>
    <col min="2310" max="2310" width="9.28125" style="327" customWidth="1"/>
    <col min="2311" max="2311" width="8.28125" style="327" customWidth="1"/>
    <col min="2312" max="2312" width="19.140625" style="327" customWidth="1"/>
    <col min="2313" max="2313" width="18.8515625" style="327" customWidth="1"/>
    <col min="2314" max="2314" width="9.28125" style="327" customWidth="1"/>
    <col min="2315" max="2315" width="7.00390625" style="327" customWidth="1"/>
    <col min="2316" max="2316" width="4.28125" style="327" customWidth="1"/>
    <col min="2317" max="2317" width="18.8515625" style="327" customWidth="1"/>
    <col min="2318" max="2318" width="15.140625" style="327" customWidth="1"/>
    <col min="2319" max="2319" width="9.28125" style="327" customWidth="1"/>
    <col min="2320" max="2320" width="21.7109375" style="327" customWidth="1"/>
    <col min="2321" max="2321" width="17.7109375" style="327" customWidth="1"/>
    <col min="2322" max="2560" width="9.28125" style="327" customWidth="1"/>
    <col min="2561" max="2561" width="4.140625" style="327" customWidth="1"/>
    <col min="2562" max="2562" width="9.28125" style="327" customWidth="1"/>
    <col min="2563" max="2563" width="47.28125" style="327" customWidth="1"/>
    <col min="2564" max="2564" width="47.421875" style="327" customWidth="1"/>
    <col min="2565" max="2565" width="20.140625" style="327" customWidth="1"/>
    <col min="2566" max="2566" width="9.28125" style="327" customWidth="1"/>
    <col min="2567" max="2567" width="8.28125" style="327" customWidth="1"/>
    <col min="2568" max="2568" width="19.140625" style="327" customWidth="1"/>
    <col min="2569" max="2569" width="18.8515625" style="327" customWidth="1"/>
    <col min="2570" max="2570" width="9.28125" style="327" customWidth="1"/>
    <col min="2571" max="2571" width="7.00390625" style="327" customWidth="1"/>
    <col min="2572" max="2572" width="4.28125" style="327" customWidth="1"/>
    <col min="2573" max="2573" width="18.8515625" style="327" customWidth="1"/>
    <col min="2574" max="2574" width="15.140625" style="327" customWidth="1"/>
    <col min="2575" max="2575" width="9.28125" style="327" customWidth="1"/>
    <col min="2576" max="2576" width="21.7109375" style="327" customWidth="1"/>
    <col min="2577" max="2577" width="17.7109375" style="327" customWidth="1"/>
    <col min="2578" max="2816" width="9.28125" style="327" customWidth="1"/>
    <col min="2817" max="2817" width="4.140625" style="327" customWidth="1"/>
    <col min="2818" max="2818" width="9.28125" style="327" customWidth="1"/>
    <col min="2819" max="2819" width="47.28125" style="327" customWidth="1"/>
    <col min="2820" max="2820" width="47.421875" style="327" customWidth="1"/>
    <col min="2821" max="2821" width="20.140625" style="327" customWidth="1"/>
    <col min="2822" max="2822" width="9.28125" style="327" customWidth="1"/>
    <col min="2823" max="2823" width="8.28125" style="327" customWidth="1"/>
    <col min="2824" max="2824" width="19.140625" style="327" customWidth="1"/>
    <col min="2825" max="2825" width="18.8515625" style="327" customWidth="1"/>
    <col min="2826" max="2826" width="9.28125" style="327" customWidth="1"/>
    <col min="2827" max="2827" width="7.00390625" style="327" customWidth="1"/>
    <col min="2828" max="2828" width="4.28125" style="327" customWidth="1"/>
    <col min="2829" max="2829" width="18.8515625" style="327" customWidth="1"/>
    <col min="2830" max="2830" width="15.140625" style="327" customWidth="1"/>
    <col min="2831" max="2831" width="9.28125" style="327" customWidth="1"/>
    <col min="2832" max="2832" width="21.7109375" style="327" customWidth="1"/>
    <col min="2833" max="2833" width="17.7109375" style="327" customWidth="1"/>
    <col min="2834" max="3072" width="9.28125" style="327" customWidth="1"/>
    <col min="3073" max="3073" width="4.140625" style="327" customWidth="1"/>
    <col min="3074" max="3074" width="9.28125" style="327" customWidth="1"/>
    <col min="3075" max="3075" width="47.28125" style="327" customWidth="1"/>
    <col min="3076" max="3076" width="47.421875" style="327" customWidth="1"/>
    <col min="3077" max="3077" width="20.140625" style="327" customWidth="1"/>
    <col min="3078" max="3078" width="9.28125" style="327" customWidth="1"/>
    <col min="3079" max="3079" width="8.28125" style="327" customWidth="1"/>
    <col min="3080" max="3080" width="19.140625" style="327" customWidth="1"/>
    <col min="3081" max="3081" width="18.8515625" style="327" customWidth="1"/>
    <col min="3082" max="3082" width="9.28125" style="327" customWidth="1"/>
    <col min="3083" max="3083" width="7.00390625" style="327" customWidth="1"/>
    <col min="3084" max="3084" width="4.28125" style="327" customWidth="1"/>
    <col min="3085" max="3085" width="18.8515625" style="327" customWidth="1"/>
    <col min="3086" max="3086" width="15.140625" style="327" customWidth="1"/>
    <col min="3087" max="3087" width="9.28125" style="327" customWidth="1"/>
    <col min="3088" max="3088" width="21.7109375" style="327" customWidth="1"/>
    <col min="3089" max="3089" width="17.7109375" style="327" customWidth="1"/>
    <col min="3090" max="3328" width="9.28125" style="327" customWidth="1"/>
    <col min="3329" max="3329" width="4.140625" style="327" customWidth="1"/>
    <col min="3330" max="3330" width="9.28125" style="327" customWidth="1"/>
    <col min="3331" max="3331" width="47.28125" style="327" customWidth="1"/>
    <col min="3332" max="3332" width="47.421875" style="327" customWidth="1"/>
    <col min="3333" max="3333" width="20.140625" style="327" customWidth="1"/>
    <col min="3334" max="3334" width="9.28125" style="327" customWidth="1"/>
    <col min="3335" max="3335" width="8.28125" style="327" customWidth="1"/>
    <col min="3336" max="3336" width="19.140625" style="327" customWidth="1"/>
    <col min="3337" max="3337" width="18.8515625" style="327" customWidth="1"/>
    <col min="3338" max="3338" width="9.28125" style="327" customWidth="1"/>
    <col min="3339" max="3339" width="7.00390625" style="327" customWidth="1"/>
    <col min="3340" max="3340" width="4.28125" style="327" customWidth="1"/>
    <col min="3341" max="3341" width="18.8515625" style="327" customWidth="1"/>
    <col min="3342" max="3342" width="15.140625" style="327" customWidth="1"/>
    <col min="3343" max="3343" width="9.28125" style="327" customWidth="1"/>
    <col min="3344" max="3344" width="21.7109375" style="327" customWidth="1"/>
    <col min="3345" max="3345" width="17.7109375" style="327" customWidth="1"/>
    <col min="3346" max="3584" width="9.28125" style="327" customWidth="1"/>
    <col min="3585" max="3585" width="4.140625" style="327" customWidth="1"/>
    <col min="3586" max="3586" width="9.28125" style="327" customWidth="1"/>
    <col min="3587" max="3587" width="47.28125" style="327" customWidth="1"/>
    <col min="3588" max="3588" width="47.421875" style="327" customWidth="1"/>
    <col min="3589" max="3589" width="20.140625" style="327" customWidth="1"/>
    <col min="3590" max="3590" width="9.28125" style="327" customWidth="1"/>
    <col min="3591" max="3591" width="8.28125" style="327" customWidth="1"/>
    <col min="3592" max="3592" width="19.140625" style="327" customWidth="1"/>
    <col min="3593" max="3593" width="18.8515625" style="327" customWidth="1"/>
    <col min="3594" max="3594" width="9.28125" style="327" customWidth="1"/>
    <col min="3595" max="3595" width="7.00390625" style="327" customWidth="1"/>
    <col min="3596" max="3596" width="4.28125" style="327" customWidth="1"/>
    <col min="3597" max="3597" width="18.8515625" style="327" customWidth="1"/>
    <col min="3598" max="3598" width="15.140625" style="327" customWidth="1"/>
    <col min="3599" max="3599" width="9.28125" style="327" customWidth="1"/>
    <col min="3600" max="3600" width="21.7109375" style="327" customWidth="1"/>
    <col min="3601" max="3601" width="17.7109375" style="327" customWidth="1"/>
    <col min="3602" max="3840" width="9.28125" style="327" customWidth="1"/>
    <col min="3841" max="3841" width="4.140625" style="327" customWidth="1"/>
    <col min="3842" max="3842" width="9.28125" style="327" customWidth="1"/>
    <col min="3843" max="3843" width="47.28125" style="327" customWidth="1"/>
    <col min="3844" max="3844" width="47.421875" style="327" customWidth="1"/>
    <col min="3845" max="3845" width="20.140625" style="327" customWidth="1"/>
    <col min="3846" max="3846" width="9.28125" style="327" customWidth="1"/>
    <col min="3847" max="3847" width="8.28125" style="327" customWidth="1"/>
    <col min="3848" max="3848" width="19.140625" style="327" customWidth="1"/>
    <col min="3849" max="3849" width="18.8515625" style="327" customWidth="1"/>
    <col min="3850" max="3850" width="9.28125" style="327" customWidth="1"/>
    <col min="3851" max="3851" width="7.00390625" style="327" customWidth="1"/>
    <col min="3852" max="3852" width="4.28125" style="327" customWidth="1"/>
    <col min="3853" max="3853" width="18.8515625" style="327" customWidth="1"/>
    <col min="3854" max="3854" width="15.140625" style="327" customWidth="1"/>
    <col min="3855" max="3855" width="9.28125" style="327" customWidth="1"/>
    <col min="3856" max="3856" width="21.7109375" style="327" customWidth="1"/>
    <col min="3857" max="3857" width="17.7109375" style="327" customWidth="1"/>
    <col min="3858" max="4096" width="9.28125" style="327" customWidth="1"/>
    <col min="4097" max="4097" width="4.140625" style="327" customWidth="1"/>
    <col min="4098" max="4098" width="9.28125" style="327" customWidth="1"/>
    <col min="4099" max="4099" width="47.28125" style="327" customWidth="1"/>
    <col min="4100" max="4100" width="47.421875" style="327" customWidth="1"/>
    <col min="4101" max="4101" width="20.140625" style="327" customWidth="1"/>
    <col min="4102" max="4102" width="9.28125" style="327" customWidth="1"/>
    <col min="4103" max="4103" width="8.28125" style="327" customWidth="1"/>
    <col min="4104" max="4104" width="19.140625" style="327" customWidth="1"/>
    <col min="4105" max="4105" width="18.8515625" style="327" customWidth="1"/>
    <col min="4106" max="4106" width="9.28125" style="327" customWidth="1"/>
    <col min="4107" max="4107" width="7.00390625" style="327" customWidth="1"/>
    <col min="4108" max="4108" width="4.28125" style="327" customWidth="1"/>
    <col min="4109" max="4109" width="18.8515625" style="327" customWidth="1"/>
    <col min="4110" max="4110" width="15.140625" style="327" customWidth="1"/>
    <col min="4111" max="4111" width="9.28125" style="327" customWidth="1"/>
    <col min="4112" max="4112" width="21.7109375" style="327" customWidth="1"/>
    <col min="4113" max="4113" width="17.7109375" style="327" customWidth="1"/>
    <col min="4114" max="4352" width="9.28125" style="327" customWidth="1"/>
    <col min="4353" max="4353" width="4.140625" style="327" customWidth="1"/>
    <col min="4354" max="4354" width="9.28125" style="327" customWidth="1"/>
    <col min="4355" max="4355" width="47.28125" style="327" customWidth="1"/>
    <col min="4356" max="4356" width="47.421875" style="327" customWidth="1"/>
    <col min="4357" max="4357" width="20.140625" style="327" customWidth="1"/>
    <col min="4358" max="4358" width="9.28125" style="327" customWidth="1"/>
    <col min="4359" max="4359" width="8.28125" style="327" customWidth="1"/>
    <col min="4360" max="4360" width="19.140625" style="327" customWidth="1"/>
    <col min="4361" max="4361" width="18.8515625" style="327" customWidth="1"/>
    <col min="4362" max="4362" width="9.28125" style="327" customWidth="1"/>
    <col min="4363" max="4363" width="7.00390625" style="327" customWidth="1"/>
    <col min="4364" max="4364" width="4.28125" style="327" customWidth="1"/>
    <col min="4365" max="4365" width="18.8515625" style="327" customWidth="1"/>
    <col min="4366" max="4366" width="15.140625" style="327" customWidth="1"/>
    <col min="4367" max="4367" width="9.28125" style="327" customWidth="1"/>
    <col min="4368" max="4368" width="21.7109375" style="327" customWidth="1"/>
    <col min="4369" max="4369" width="17.7109375" style="327" customWidth="1"/>
    <col min="4370" max="4608" width="9.28125" style="327" customWidth="1"/>
    <col min="4609" max="4609" width="4.140625" style="327" customWidth="1"/>
    <col min="4610" max="4610" width="9.28125" style="327" customWidth="1"/>
    <col min="4611" max="4611" width="47.28125" style="327" customWidth="1"/>
    <col min="4612" max="4612" width="47.421875" style="327" customWidth="1"/>
    <col min="4613" max="4613" width="20.140625" style="327" customWidth="1"/>
    <col min="4614" max="4614" width="9.28125" style="327" customWidth="1"/>
    <col min="4615" max="4615" width="8.28125" style="327" customWidth="1"/>
    <col min="4616" max="4616" width="19.140625" style="327" customWidth="1"/>
    <col min="4617" max="4617" width="18.8515625" style="327" customWidth="1"/>
    <col min="4618" max="4618" width="9.28125" style="327" customWidth="1"/>
    <col min="4619" max="4619" width="7.00390625" style="327" customWidth="1"/>
    <col min="4620" max="4620" width="4.28125" style="327" customWidth="1"/>
    <col min="4621" max="4621" width="18.8515625" style="327" customWidth="1"/>
    <col min="4622" max="4622" width="15.140625" style="327" customWidth="1"/>
    <col min="4623" max="4623" width="9.28125" style="327" customWidth="1"/>
    <col min="4624" max="4624" width="21.7109375" style="327" customWidth="1"/>
    <col min="4625" max="4625" width="17.7109375" style="327" customWidth="1"/>
    <col min="4626" max="4864" width="9.28125" style="327" customWidth="1"/>
    <col min="4865" max="4865" width="4.140625" style="327" customWidth="1"/>
    <col min="4866" max="4866" width="9.28125" style="327" customWidth="1"/>
    <col min="4867" max="4867" width="47.28125" style="327" customWidth="1"/>
    <col min="4868" max="4868" width="47.421875" style="327" customWidth="1"/>
    <col min="4869" max="4869" width="20.140625" style="327" customWidth="1"/>
    <col min="4870" max="4870" width="9.28125" style="327" customWidth="1"/>
    <col min="4871" max="4871" width="8.28125" style="327" customWidth="1"/>
    <col min="4872" max="4872" width="19.140625" style="327" customWidth="1"/>
    <col min="4873" max="4873" width="18.8515625" style="327" customWidth="1"/>
    <col min="4874" max="4874" width="9.28125" style="327" customWidth="1"/>
    <col min="4875" max="4875" width="7.00390625" style="327" customWidth="1"/>
    <col min="4876" max="4876" width="4.28125" style="327" customWidth="1"/>
    <col min="4877" max="4877" width="18.8515625" style="327" customWidth="1"/>
    <col min="4878" max="4878" width="15.140625" style="327" customWidth="1"/>
    <col min="4879" max="4879" width="9.28125" style="327" customWidth="1"/>
    <col min="4880" max="4880" width="21.7109375" style="327" customWidth="1"/>
    <col min="4881" max="4881" width="17.7109375" style="327" customWidth="1"/>
    <col min="4882" max="5120" width="9.28125" style="327" customWidth="1"/>
    <col min="5121" max="5121" width="4.140625" style="327" customWidth="1"/>
    <col min="5122" max="5122" width="9.28125" style="327" customWidth="1"/>
    <col min="5123" max="5123" width="47.28125" style="327" customWidth="1"/>
    <col min="5124" max="5124" width="47.421875" style="327" customWidth="1"/>
    <col min="5125" max="5125" width="20.140625" style="327" customWidth="1"/>
    <col min="5126" max="5126" width="9.28125" style="327" customWidth="1"/>
    <col min="5127" max="5127" width="8.28125" style="327" customWidth="1"/>
    <col min="5128" max="5128" width="19.140625" style="327" customWidth="1"/>
    <col min="5129" max="5129" width="18.8515625" style="327" customWidth="1"/>
    <col min="5130" max="5130" width="9.28125" style="327" customWidth="1"/>
    <col min="5131" max="5131" width="7.00390625" style="327" customWidth="1"/>
    <col min="5132" max="5132" width="4.28125" style="327" customWidth="1"/>
    <col min="5133" max="5133" width="18.8515625" style="327" customWidth="1"/>
    <col min="5134" max="5134" width="15.140625" style="327" customWidth="1"/>
    <col min="5135" max="5135" width="9.28125" style="327" customWidth="1"/>
    <col min="5136" max="5136" width="21.7109375" style="327" customWidth="1"/>
    <col min="5137" max="5137" width="17.7109375" style="327" customWidth="1"/>
    <col min="5138" max="5376" width="9.28125" style="327" customWidth="1"/>
    <col min="5377" max="5377" width="4.140625" style="327" customWidth="1"/>
    <col min="5378" max="5378" width="9.28125" style="327" customWidth="1"/>
    <col min="5379" max="5379" width="47.28125" style="327" customWidth="1"/>
    <col min="5380" max="5380" width="47.421875" style="327" customWidth="1"/>
    <col min="5381" max="5381" width="20.140625" style="327" customWidth="1"/>
    <col min="5382" max="5382" width="9.28125" style="327" customWidth="1"/>
    <col min="5383" max="5383" width="8.28125" style="327" customWidth="1"/>
    <col min="5384" max="5384" width="19.140625" style="327" customWidth="1"/>
    <col min="5385" max="5385" width="18.8515625" style="327" customWidth="1"/>
    <col min="5386" max="5386" width="9.28125" style="327" customWidth="1"/>
    <col min="5387" max="5387" width="7.00390625" style="327" customWidth="1"/>
    <col min="5388" max="5388" width="4.28125" style="327" customWidth="1"/>
    <col min="5389" max="5389" width="18.8515625" style="327" customWidth="1"/>
    <col min="5390" max="5390" width="15.140625" style="327" customWidth="1"/>
    <col min="5391" max="5391" width="9.28125" style="327" customWidth="1"/>
    <col min="5392" max="5392" width="21.7109375" style="327" customWidth="1"/>
    <col min="5393" max="5393" width="17.7109375" style="327" customWidth="1"/>
    <col min="5394" max="5632" width="9.28125" style="327" customWidth="1"/>
    <col min="5633" max="5633" width="4.140625" style="327" customWidth="1"/>
    <col min="5634" max="5634" width="9.28125" style="327" customWidth="1"/>
    <col min="5635" max="5635" width="47.28125" style="327" customWidth="1"/>
    <col min="5636" max="5636" width="47.421875" style="327" customWidth="1"/>
    <col min="5637" max="5637" width="20.140625" style="327" customWidth="1"/>
    <col min="5638" max="5638" width="9.28125" style="327" customWidth="1"/>
    <col min="5639" max="5639" width="8.28125" style="327" customWidth="1"/>
    <col min="5640" max="5640" width="19.140625" style="327" customWidth="1"/>
    <col min="5641" max="5641" width="18.8515625" style="327" customWidth="1"/>
    <col min="5642" max="5642" width="9.28125" style="327" customWidth="1"/>
    <col min="5643" max="5643" width="7.00390625" style="327" customWidth="1"/>
    <col min="5644" max="5644" width="4.28125" style="327" customWidth="1"/>
    <col min="5645" max="5645" width="18.8515625" style="327" customWidth="1"/>
    <col min="5646" max="5646" width="15.140625" style="327" customWidth="1"/>
    <col min="5647" max="5647" width="9.28125" style="327" customWidth="1"/>
    <col min="5648" max="5648" width="21.7109375" style="327" customWidth="1"/>
    <col min="5649" max="5649" width="17.7109375" style="327" customWidth="1"/>
    <col min="5650" max="5888" width="9.28125" style="327" customWidth="1"/>
    <col min="5889" max="5889" width="4.140625" style="327" customWidth="1"/>
    <col min="5890" max="5890" width="9.28125" style="327" customWidth="1"/>
    <col min="5891" max="5891" width="47.28125" style="327" customWidth="1"/>
    <col min="5892" max="5892" width="47.421875" style="327" customWidth="1"/>
    <col min="5893" max="5893" width="20.140625" style="327" customWidth="1"/>
    <col min="5894" max="5894" width="9.28125" style="327" customWidth="1"/>
    <col min="5895" max="5895" width="8.28125" style="327" customWidth="1"/>
    <col min="5896" max="5896" width="19.140625" style="327" customWidth="1"/>
    <col min="5897" max="5897" width="18.8515625" style="327" customWidth="1"/>
    <col min="5898" max="5898" width="9.28125" style="327" customWidth="1"/>
    <col min="5899" max="5899" width="7.00390625" style="327" customWidth="1"/>
    <col min="5900" max="5900" width="4.28125" style="327" customWidth="1"/>
    <col min="5901" max="5901" width="18.8515625" style="327" customWidth="1"/>
    <col min="5902" max="5902" width="15.140625" style="327" customWidth="1"/>
    <col min="5903" max="5903" width="9.28125" style="327" customWidth="1"/>
    <col min="5904" max="5904" width="21.7109375" style="327" customWidth="1"/>
    <col min="5905" max="5905" width="17.7109375" style="327" customWidth="1"/>
    <col min="5906" max="6144" width="9.28125" style="327" customWidth="1"/>
    <col min="6145" max="6145" width="4.140625" style="327" customWidth="1"/>
    <col min="6146" max="6146" width="9.28125" style="327" customWidth="1"/>
    <col min="6147" max="6147" width="47.28125" style="327" customWidth="1"/>
    <col min="6148" max="6148" width="47.421875" style="327" customWidth="1"/>
    <col min="6149" max="6149" width="20.140625" style="327" customWidth="1"/>
    <col min="6150" max="6150" width="9.28125" style="327" customWidth="1"/>
    <col min="6151" max="6151" width="8.28125" style="327" customWidth="1"/>
    <col min="6152" max="6152" width="19.140625" style="327" customWidth="1"/>
    <col min="6153" max="6153" width="18.8515625" style="327" customWidth="1"/>
    <col min="6154" max="6154" width="9.28125" style="327" customWidth="1"/>
    <col min="6155" max="6155" width="7.00390625" style="327" customWidth="1"/>
    <col min="6156" max="6156" width="4.28125" style="327" customWidth="1"/>
    <col min="6157" max="6157" width="18.8515625" style="327" customWidth="1"/>
    <col min="6158" max="6158" width="15.140625" style="327" customWidth="1"/>
    <col min="6159" max="6159" width="9.28125" style="327" customWidth="1"/>
    <col min="6160" max="6160" width="21.7109375" style="327" customWidth="1"/>
    <col min="6161" max="6161" width="17.7109375" style="327" customWidth="1"/>
    <col min="6162" max="6400" width="9.28125" style="327" customWidth="1"/>
    <col min="6401" max="6401" width="4.140625" style="327" customWidth="1"/>
    <col min="6402" max="6402" width="9.28125" style="327" customWidth="1"/>
    <col min="6403" max="6403" width="47.28125" style="327" customWidth="1"/>
    <col min="6404" max="6404" width="47.421875" style="327" customWidth="1"/>
    <col min="6405" max="6405" width="20.140625" style="327" customWidth="1"/>
    <col min="6406" max="6406" width="9.28125" style="327" customWidth="1"/>
    <col min="6407" max="6407" width="8.28125" style="327" customWidth="1"/>
    <col min="6408" max="6408" width="19.140625" style="327" customWidth="1"/>
    <col min="6409" max="6409" width="18.8515625" style="327" customWidth="1"/>
    <col min="6410" max="6410" width="9.28125" style="327" customWidth="1"/>
    <col min="6411" max="6411" width="7.00390625" style="327" customWidth="1"/>
    <col min="6412" max="6412" width="4.28125" style="327" customWidth="1"/>
    <col min="6413" max="6413" width="18.8515625" style="327" customWidth="1"/>
    <col min="6414" max="6414" width="15.140625" style="327" customWidth="1"/>
    <col min="6415" max="6415" width="9.28125" style="327" customWidth="1"/>
    <col min="6416" max="6416" width="21.7109375" style="327" customWidth="1"/>
    <col min="6417" max="6417" width="17.7109375" style="327" customWidth="1"/>
    <col min="6418" max="6656" width="9.28125" style="327" customWidth="1"/>
    <col min="6657" max="6657" width="4.140625" style="327" customWidth="1"/>
    <col min="6658" max="6658" width="9.28125" style="327" customWidth="1"/>
    <col min="6659" max="6659" width="47.28125" style="327" customWidth="1"/>
    <col min="6660" max="6660" width="47.421875" style="327" customWidth="1"/>
    <col min="6661" max="6661" width="20.140625" style="327" customWidth="1"/>
    <col min="6662" max="6662" width="9.28125" style="327" customWidth="1"/>
    <col min="6663" max="6663" width="8.28125" style="327" customWidth="1"/>
    <col min="6664" max="6664" width="19.140625" style="327" customWidth="1"/>
    <col min="6665" max="6665" width="18.8515625" style="327" customWidth="1"/>
    <col min="6666" max="6666" width="9.28125" style="327" customWidth="1"/>
    <col min="6667" max="6667" width="7.00390625" style="327" customWidth="1"/>
    <col min="6668" max="6668" width="4.28125" style="327" customWidth="1"/>
    <col min="6669" max="6669" width="18.8515625" style="327" customWidth="1"/>
    <col min="6670" max="6670" width="15.140625" style="327" customWidth="1"/>
    <col min="6671" max="6671" width="9.28125" style="327" customWidth="1"/>
    <col min="6672" max="6672" width="21.7109375" style="327" customWidth="1"/>
    <col min="6673" max="6673" width="17.7109375" style="327" customWidth="1"/>
    <col min="6674" max="6912" width="9.28125" style="327" customWidth="1"/>
    <col min="6913" max="6913" width="4.140625" style="327" customWidth="1"/>
    <col min="6914" max="6914" width="9.28125" style="327" customWidth="1"/>
    <col min="6915" max="6915" width="47.28125" style="327" customWidth="1"/>
    <col min="6916" max="6916" width="47.421875" style="327" customWidth="1"/>
    <col min="6917" max="6917" width="20.140625" style="327" customWidth="1"/>
    <col min="6918" max="6918" width="9.28125" style="327" customWidth="1"/>
    <col min="6919" max="6919" width="8.28125" style="327" customWidth="1"/>
    <col min="6920" max="6920" width="19.140625" style="327" customWidth="1"/>
    <col min="6921" max="6921" width="18.8515625" style="327" customWidth="1"/>
    <col min="6922" max="6922" width="9.28125" style="327" customWidth="1"/>
    <col min="6923" max="6923" width="7.00390625" style="327" customWidth="1"/>
    <col min="6924" max="6924" width="4.28125" style="327" customWidth="1"/>
    <col min="6925" max="6925" width="18.8515625" style="327" customWidth="1"/>
    <col min="6926" max="6926" width="15.140625" style="327" customWidth="1"/>
    <col min="6927" max="6927" width="9.28125" style="327" customWidth="1"/>
    <col min="6928" max="6928" width="21.7109375" style="327" customWidth="1"/>
    <col min="6929" max="6929" width="17.7109375" style="327" customWidth="1"/>
    <col min="6930" max="7168" width="9.28125" style="327" customWidth="1"/>
    <col min="7169" max="7169" width="4.140625" style="327" customWidth="1"/>
    <col min="7170" max="7170" width="9.28125" style="327" customWidth="1"/>
    <col min="7171" max="7171" width="47.28125" style="327" customWidth="1"/>
    <col min="7172" max="7172" width="47.421875" style="327" customWidth="1"/>
    <col min="7173" max="7173" width="20.140625" style="327" customWidth="1"/>
    <col min="7174" max="7174" width="9.28125" style="327" customWidth="1"/>
    <col min="7175" max="7175" width="8.28125" style="327" customWidth="1"/>
    <col min="7176" max="7176" width="19.140625" style="327" customWidth="1"/>
    <col min="7177" max="7177" width="18.8515625" style="327" customWidth="1"/>
    <col min="7178" max="7178" width="9.28125" style="327" customWidth="1"/>
    <col min="7179" max="7179" width="7.00390625" style="327" customWidth="1"/>
    <col min="7180" max="7180" width="4.28125" style="327" customWidth="1"/>
    <col min="7181" max="7181" width="18.8515625" style="327" customWidth="1"/>
    <col min="7182" max="7182" width="15.140625" style="327" customWidth="1"/>
    <col min="7183" max="7183" width="9.28125" style="327" customWidth="1"/>
    <col min="7184" max="7184" width="21.7109375" style="327" customWidth="1"/>
    <col min="7185" max="7185" width="17.7109375" style="327" customWidth="1"/>
    <col min="7186" max="7424" width="9.28125" style="327" customWidth="1"/>
    <col min="7425" max="7425" width="4.140625" style="327" customWidth="1"/>
    <col min="7426" max="7426" width="9.28125" style="327" customWidth="1"/>
    <col min="7427" max="7427" width="47.28125" style="327" customWidth="1"/>
    <col min="7428" max="7428" width="47.421875" style="327" customWidth="1"/>
    <col min="7429" max="7429" width="20.140625" style="327" customWidth="1"/>
    <col min="7430" max="7430" width="9.28125" style="327" customWidth="1"/>
    <col min="7431" max="7431" width="8.28125" style="327" customWidth="1"/>
    <col min="7432" max="7432" width="19.140625" style="327" customWidth="1"/>
    <col min="7433" max="7433" width="18.8515625" style="327" customWidth="1"/>
    <col min="7434" max="7434" width="9.28125" style="327" customWidth="1"/>
    <col min="7435" max="7435" width="7.00390625" style="327" customWidth="1"/>
    <col min="7436" max="7436" width="4.28125" style="327" customWidth="1"/>
    <col min="7437" max="7437" width="18.8515625" style="327" customWidth="1"/>
    <col min="7438" max="7438" width="15.140625" style="327" customWidth="1"/>
    <col min="7439" max="7439" width="9.28125" style="327" customWidth="1"/>
    <col min="7440" max="7440" width="21.7109375" style="327" customWidth="1"/>
    <col min="7441" max="7441" width="17.7109375" style="327" customWidth="1"/>
    <col min="7442" max="7680" width="9.28125" style="327" customWidth="1"/>
    <col min="7681" max="7681" width="4.140625" style="327" customWidth="1"/>
    <col min="7682" max="7682" width="9.28125" style="327" customWidth="1"/>
    <col min="7683" max="7683" width="47.28125" style="327" customWidth="1"/>
    <col min="7684" max="7684" width="47.421875" style="327" customWidth="1"/>
    <col min="7685" max="7685" width="20.140625" style="327" customWidth="1"/>
    <col min="7686" max="7686" width="9.28125" style="327" customWidth="1"/>
    <col min="7687" max="7687" width="8.28125" style="327" customWidth="1"/>
    <col min="7688" max="7688" width="19.140625" style="327" customWidth="1"/>
    <col min="7689" max="7689" width="18.8515625" style="327" customWidth="1"/>
    <col min="7690" max="7690" width="9.28125" style="327" customWidth="1"/>
    <col min="7691" max="7691" width="7.00390625" style="327" customWidth="1"/>
    <col min="7692" max="7692" width="4.28125" style="327" customWidth="1"/>
    <col min="7693" max="7693" width="18.8515625" style="327" customWidth="1"/>
    <col min="7694" max="7694" width="15.140625" style="327" customWidth="1"/>
    <col min="7695" max="7695" width="9.28125" style="327" customWidth="1"/>
    <col min="7696" max="7696" width="21.7109375" style="327" customWidth="1"/>
    <col min="7697" max="7697" width="17.7109375" style="327" customWidth="1"/>
    <col min="7698" max="7936" width="9.28125" style="327" customWidth="1"/>
    <col min="7937" max="7937" width="4.140625" style="327" customWidth="1"/>
    <col min="7938" max="7938" width="9.28125" style="327" customWidth="1"/>
    <col min="7939" max="7939" width="47.28125" style="327" customWidth="1"/>
    <col min="7940" max="7940" width="47.421875" style="327" customWidth="1"/>
    <col min="7941" max="7941" width="20.140625" style="327" customWidth="1"/>
    <col min="7942" max="7942" width="9.28125" style="327" customWidth="1"/>
    <col min="7943" max="7943" width="8.28125" style="327" customWidth="1"/>
    <col min="7944" max="7944" width="19.140625" style="327" customWidth="1"/>
    <col min="7945" max="7945" width="18.8515625" style="327" customWidth="1"/>
    <col min="7946" max="7946" width="9.28125" style="327" customWidth="1"/>
    <col min="7947" max="7947" width="7.00390625" style="327" customWidth="1"/>
    <col min="7948" max="7948" width="4.28125" style="327" customWidth="1"/>
    <col min="7949" max="7949" width="18.8515625" style="327" customWidth="1"/>
    <col min="7950" max="7950" width="15.140625" style="327" customWidth="1"/>
    <col min="7951" max="7951" width="9.28125" style="327" customWidth="1"/>
    <col min="7952" max="7952" width="21.7109375" style="327" customWidth="1"/>
    <col min="7953" max="7953" width="17.7109375" style="327" customWidth="1"/>
    <col min="7954" max="8192" width="9.28125" style="327" customWidth="1"/>
    <col min="8193" max="8193" width="4.140625" style="327" customWidth="1"/>
    <col min="8194" max="8194" width="9.28125" style="327" customWidth="1"/>
    <col min="8195" max="8195" width="47.28125" style="327" customWidth="1"/>
    <col min="8196" max="8196" width="47.421875" style="327" customWidth="1"/>
    <col min="8197" max="8197" width="20.140625" style="327" customWidth="1"/>
    <col min="8198" max="8198" width="9.28125" style="327" customWidth="1"/>
    <col min="8199" max="8199" width="8.28125" style="327" customWidth="1"/>
    <col min="8200" max="8200" width="19.140625" style="327" customWidth="1"/>
    <col min="8201" max="8201" width="18.8515625" style="327" customWidth="1"/>
    <col min="8202" max="8202" width="9.28125" style="327" customWidth="1"/>
    <col min="8203" max="8203" width="7.00390625" style="327" customWidth="1"/>
    <col min="8204" max="8204" width="4.28125" style="327" customWidth="1"/>
    <col min="8205" max="8205" width="18.8515625" style="327" customWidth="1"/>
    <col min="8206" max="8206" width="15.140625" style="327" customWidth="1"/>
    <col min="8207" max="8207" width="9.28125" style="327" customWidth="1"/>
    <col min="8208" max="8208" width="21.7109375" style="327" customWidth="1"/>
    <col min="8209" max="8209" width="17.7109375" style="327" customWidth="1"/>
    <col min="8210" max="8448" width="9.28125" style="327" customWidth="1"/>
    <col min="8449" max="8449" width="4.140625" style="327" customWidth="1"/>
    <col min="8450" max="8450" width="9.28125" style="327" customWidth="1"/>
    <col min="8451" max="8451" width="47.28125" style="327" customWidth="1"/>
    <col min="8452" max="8452" width="47.421875" style="327" customWidth="1"/>
    <col min="8453" max="8453" width="20.140625" style="327" customWidth="1"/>
    <col min="8454" max="8454" width="9.28125" style="327" customWidth="1"/>
    <col min="8455" max="8455" width="8.28125" style="327" customWidth="1"/>
    <col min="8456" max="8456" width="19.140625" style="327" customWidth="1"/>
    <col min="8457" max="8457" width="18.8515625" style="327" customWidth="1"/>
    <col min="8458" max="8458" width="9.28125" style="327" customWidth="1"/>
    <col min="8459" max="8459" width="7.00390625" style="327" customWidth="1"/>
    <col min="8460" max="8460" width="4.28125" style="327" customWidth="1"/>
    <col min="8461" max="8461" width="18.8515625" style="327" customWidth="1"/>
    <col min="8462" max="8462" width="15.140625" style="327" customWidth="1"/>
    <col min="8463" max="8463" width="9.28125" style="327" customWidth="1"/>
    <col min="8464" max="8464" width="21.7109375" style="327" customWidth="1"/>
    <col min="8465" max="8465" width="17.7109375" style="327" customWidth="1"/>
    <col min="8466" max="8704" width="9.28125" style="327" customWidth="1"/>
    <col min="8705" max="8705" width="4.140625" style="327" customWidth="1"/>
    <col min="8706" max="8706" width="9.28125" style="327" customWidth="1"/>
    <col min="8707" max="8707" width="47.28125" style="327" customWidth="1"/>
    <col min="8708" max="8708" width="47.421875" style="327" customWidth="1"/>
    <col min="8709" max="8709" width="20.140625" style="327" customWidth="1"/>
    <col min="8710" max="8710" width="9.28125" style="327" customWidth="1"/>
    <col min="8711" max="8711" width="8.28125" style="327" customWidth="1"/>
    <col min="8712" max="8712" width="19.140625" style="327" customWidth="1"/>
    <col min="8713" max="8713" width="18.8515625" style="327" customWidth="1"/>
    <col min="8714" max="8714" width="9.28125" style="327" customWidth="1"/>
    <col min="8715" max="8715" width="7.00390625" style="327" customWidth="1"/>
    <col min="8716" max="8716" width="4.28125" style="327" customWidth="1"/>
    <col min="8717" max="8717" width="18.8515625" style="327" customWidth="1"/>
    <col min="8718" max="8718" width="15.140625" style="327" customWidth="1"/>
    <col min="8719" max="8719" width="9.28125" style="327" customWidth="1"/>
    <col min="8720" max="8720" width="21.7109375" style="327" customWidth="1"/>
    <col min="8721" max="8721" width="17.7109375" style="327" customWidth="1"/>
    <col min="8722" max="8960" width="9.28125" style="327" customWidth="1"/>
    <col min="8961" max="8961" width="4.140625" style="327" customWidth="1"/>
    <col min="8962" max="8962" width="9.28125" style="327" customWidth="1"/>
    <col min="8963" max="8963" width="47.28125" style="327" customWidth="1"/>
    <col min="8964" max="8964" width="47.421875" style="327" customWidth="1"/>
    <col min="8965" max="8965" width="20.140625" style="327" customWidth="1"/>
    <col min="8966" max="8966" width="9.28125" style="327" customWidth="1"/>
    <col min="8967" max="8967" width="8.28125" style="327" customWidth="1"/>
    <col min="8968" max="8968" width="19.140625" style="327" customWidth="1"/>
    <col min="8969" max="8969" width="18.8515625" style="327" customWidth="1"/>
    <col min="8970" max="8970" width="9.28125" style="327" customWidth="1"/>
    <col min="8971" max="8971" width="7.00390625" style="327" customWidth="1"/>
    <col min="8972" max="8972" width="4.28125" style="327" customWidth="1"/>
    <col min="8973" max="8973" width="18.8515625" style="327" customWidth="1"/>
    <col min="8974" max="8974" width="15.140625" style="327" customWidth="1"/>
    <col min="8975" max="8975" width="9.28125" style="327" customWidth="1"/>
    <col min="8976" max="8976" width="21.7109375" style="327" customWidth="1"/>
    <col min="8977" max="8977" width="17.7109375" style="327" customWidth="1"/>
    <col min="8978" max="9216" width="9.28125" style="327" customWidth="1"/>
    <col min="9217" max="9217" width="4.140625" style="327" customWidth="1"/>
    <col min="9218" max="9218" width="9.28125" style="327" customWidth="1"/>
    <col min="9219" max="9219" width="47.28125" style="327" customWidth="1"/>
    <col min="9220" max="9220" width="47.421875" style="327" customWidth="1"/>
    <col min="9221" max="9221" width="20.140625" style="327" customWidth="1"/>
    <col min="9222" max="9222" width="9.28125" style="327" customWidth="1"/>
    <col min="9223" max="9223" width="8.28125" style="327" customWidth="1"/>
    <col min="9224" max="9224" width="19.140625" style="327" customWidth="1"/>
    <col min="9225" max="9225" width="18.8515625" style="327" customWidth="1"/>
    <col min="9226" max="9226" width="9.28125" style="327" customWidth="1"/>
    <col min="9227" max="9227" width="7.00390625" style="327" customWidth="1"/>
    <col min="9228" max="9228" width="4.28125" style="327" customWidth="1"/>
    <col min="9229" max="9229" width="18.8515625" style="327" customWidth="1"/>
    <col min="9230" max="9230" width="15.140625" style="327" customWidth="1"/>
    <col min="9231" max="9231" width="9.28125" style="327" customWidth="1"/>
    <col min="9232" max="9232" width="21.7109375" style="327" customWidth="1"/>
    <col min="9233" max="9233" width="17.7109375" style="327" customWidth="1"/>
    <col min="9234" max="9472" width="9.28125" style="327" customWidth="1"/>
    <col min="9473" max="9473" width="4.140625" style="327" customWidth="1"/>
    <col min="9474" max="9474" width="9.28125" style="327" customWidth="1"/>
    <col min="9475" max="9475" width="47.28125" style="327" customWidth="1"/>
    <col min="9476" max="9476" width="47.421875" style="327" customWidth="1"/>
    <col min="9477" max="9477" width="20.140625" style="327" customWidth="1"/>
    <col min="9478" max="9478" width="9.28125" style="327" customWidth="1"/>
    <col min="9479" max="9479" width="8.28125" style="327" customWidth="1"/>
    <col min="9480" max="9480" width="19.140625" style="327" customWidth="1"/>
    <col min="9481" max="9481" width="18.8515625" style="327" customWidth="1"/>
    <col min="9482" max="9482" width="9.28125" style="327" customWidth="1"/>
    <col min="9483" max="9483" width="7.00390625" style="327" customWidth="1"/>
    <col min="9484" max="9484" width="4.28125" style="327" customWidth="1"/>
    <col min="9485" max="9485" width="18.8515625" style="327" customWidth="1"/>
    <col min="9486" max="9486" width="15.140625" style="327" customWidth="1"/>
    <col min="9487" max="9487" width="9.28125" style="327" customWidth="1"/>
    <col min="9488" max="9488" width="21.7109375" style="327" customWidth="1"/>
    <col min="9489" max="9489" width="17.7109375" style="327" customWidth="1"/>
    <col min="9490" max="9728" width="9.28125" style="327" customWidth="1"/>
    <col min="9729" max="9729" width="4.140625" style="327" customWidth="1"/>
    <col min="9730" max="9730" width="9.28125" style="327" customWidth="1"/>
    <col min="9731" max="9731" width="47.28125" style="327" customWidth="1"/>
    <col min="9732" max="9732" width="47.421875" style="327" customWidth="1"/>
    <col min="9733" max="9733" width="20.140625" style="327" customWidth="1"/>
    <col min="9734" max="9734" width="9.28125" style="327" customWidth="1"/>
    <col min="9735" max="9735" width="8.28125" style="327" customWidth="1"/>
    <col min="9736" max="9736" width="19.140625" style="327" customWidth="1"/>
    <col min="9737" max="9737" width="18.8515625" style="327" customWidth="1"/>
    <col min="9738" max="9738" width="9.28125" style="327" customWidth="1"/>
    <col min="9739" max="9739" width="7.00390625" style="327" customWidth="1"/>
    <col min="9740" max="9740" width="4.28125" style="327" customWidth="1"/>
    <col min="9741" max="9741" width="18.8515625" style="327" customWidth="1"/>
    <col min="9742" max="9742" width="15.140625" style="327" customWidth="1"/>
    <col min="9743" max="9743" width="9.28125" style="327" customWidth="1"/>
    <col min="9744" max="9744" width="21.7109375" style="327" customWidth="1"/>
    <col min="9745" max="9745" width="17.7109375" style="327" customWidth="1"/>
    <col min="9746" max="9984" width="9.28125" style="327" customWidth="1"/>
    <col min="9985" max="9985" width="4.140625" style="327" customWidth="1"/>
    <col min="9986" max="9986" width="9.28125" style="327" customWidth="1"/>
    <col min="9987" max="9987" width="47.28125" style="327" customWidth="1"/>
    <col min="9988" max="9988" width="47.421875" style="327" customWidth="1"/>
    <col min="9989" max="9989" width="20.140625" style="327" customWidth="1"/>
    <col min="9990" max="9990" width="9.28125" style="327" customWidth="1"/>
    <col min="9991" max="9991" width="8.28125" style="327" customWidth="1"/>
    <col min="9992" max="9992" width="19.140625" style="327" customWidth="1"/>
    <col min="9993" max="9993" width="18.8515625" style="327" customWidth="1"/>
    <col min="9994" max="9994" width="9.28125" style="327" customWidth="1"/>
    <col min="9995" max="9995" width="7.00390625" style="327" customWidth="1"/>
    <col min="9996" max="9996" width="4.28125" style="327" customWidth="1"/>
    <col min="9997" max="9997" width="18.8515625" style="327" customWidth="1"/>
    <col min="9998" max="9998" width="15.140625" style="327" customWidth="1"/>
    <col min="9999" max="9999" width="9.28125" style="327" customWidth="1"/>
    <col min="10000" max="10000" width="21.7109375" style="327" customWidth="1"/>
    <col min="10001" max="10001" width="17.7109375" style="327" customWidth="1"/>
    <col min="10002" max="10240" width="9.28125" style="327" customWidth="1"/>
    <col min="10241" max="10241" width="4.140625" style="327" customWidth="1"/>
    <col min="10242" max="10242" width="9.28125" style="327" customWidth="1"/>
    <col min="10243" max="10243" width="47.28125" style="327" customWidth="1"/>
    <col min="10244" max="10244" width="47.421875" style="327" customWidth="1"/>
    <col min="10245" max="10245" width="20.140625" style="327" customWidth="1"/>
    <col min="10246" max="10246" width="9.28125" style="327" customWidth="1"/>
    <col min="10247" max="10247" width="8.28125" style="327" customWidth="1"/>
    <col min="10248" max="10248" width="19.140625" style="327" customWidth="1"/>
    <col min="10249" max="10249" width="18.8515625" style="327" customWidth="1"/>
    <col min="10250" max="10250" width="9.28125" style="327" customWidth="1"/>
    <col min="10251" max="10251" width="7.00390625" style="327" customWidth="1"/>
    <col min="10252" max="10252" width="4.28125" style="327" customWidth="1"/>
    <col min="10253" max="10253" width="18.8515625" style="327" customWidth="1"/>
    <col min="10254" max="10254" width="15.140625" style="327" customWidth="1"/>
    <col min="10255" max="10255" width="9.28125" style="327" customWidth="1"/>
    <col min="10256" max="10256" width="21.7109375" style="327" customWidth="1"/>
    <col min="10257" max="10257" width="17.7109375" style="327" customWidth="1"/>
    <col min="10258" max="10496" width="9.28125" style="327" customWidth="1"/>
    <col min="10497" max="10497" width="4.140625" style="327" customWidth="1"/>
    <col min="10498" max="10498" width="9.28125" style="327" customWidth="1"/>
    <col min="10499" max="10499" width="47.28125" style="327" customWidth="1"/>
    <col min="10500" max="10500" width="47.421875" style="327" customWidth="1"/>
    <col min="10501" max="10501" width="20.140625" style="327" customWidth="1"/>
    <col min="10502" max="10502" width="9.28125" style="327" customWidth="1"/>
    <col min="10503" max="10503" width="8.28125" style="327" customWidth="1"/>
    <col min="10504" max="10504" width="19.140625" style="327" customWidth="1"/>
    <col min="10505" max="10505" width="18.8515625" style="327" customWidth="1"/>
    <col min="10506" max="10506" width="9.28125" style="327" customWidth="1"/>
    <col min="10507" max="10507" width="7.00390625" style="327" customWidth="1"/>
    <col min="10508" max="10508" width="4.28125" style="327" customWidth="1"/>
    <col min="10509" max="10509" width="18.8515625" style="327" customWidth="1"/>
    <col min="10510" max="10510" width="15.140625" style="327" customWidth="1"/>
    <col min="10511" max="10511" width="9.28125" style="327" customWidth="1"/>
    <col min="10512" max="10512" width="21.7109375" style="327" customWidth="1"/>
    <col min="10513" max="10513" width="17.7109375" style="327" customWidth="1"/>
    <col min="10514" max="10752" width="9.28125" style="327" customWidth="1"/>
    <col min="10753" max="10753" width="4.140625" style="327" customWidth="1"/>
    <col min="10754" max="10754" width="9.28125" style="327" customWidth="1"/>
    <col min="10755" max="10755" width="47.28125" style="327" customWidth="1"/>
    <col min="10756" max="10756" width="47.421875" style="327" customWidth="1"/>
    <col min="10757" max="10757" width="20.140625" style="327" customWidth="1"/>
    <col min="10758" max="10758" width="9.28125" style="327" customWidth="1"/>
    <col min="10759" max="10759" width="8.28125" style="327" customWidth="1"/>
    <col min="10760" max="10760" width="19.140625" style="327" customWidth="1"/>
    <col min="10761" max="10761" width="18.8515625" style="327" customWidth="1"/>
    <col min="10762" max="10762" width="9.28125" style="327" customWidth="1"/>
    <col min="10763" max="10763" width="7.00390625" style="327" customWidth="1"/>
    <col min="10764" max="10764" width="4.28125" style="327" customWidth="1"/>
    <col min="10765" max="10765" width="18.8515625" style="327" customWidth="1"/>
    <col min="10766" max="10766" width="15.140625" style="327" customWidth="1"/>
    <col min="10767" max="10767" width="9.28125" style="327" customWidth="1"/>
    <col min="10768" max="10768" width="21.7109375" style="327" customWidth="1"/>
    <col min="10769" max="10769" width="17.7109375" style="327" customWidth="1"/>
    <col min="10770" max="11008" width="9.28125" style="327" customWidth="1"/>
    <col min="11009" max="11009" width="4.140625" style="327" customWidth="1"/>
    <col min="11010" max="11010" width="9.28125" style="327" customWidth="1"/>
    <col min="11011" max="11011" width="47.28125" style="327" customWidth="1"/>
    <col min="11012" max="11012" width="47.421875" style="327" customWidth="1"/>
    <col min="11013" max="11013" width="20.140625" style="327" customWidth="1"/>
    <col min="11014" max="11014" width="9.28125" style="327" customWidth="1"/>
    <col min="11015" max="11015" width="8.28125" style="327" customWidth="1"/>
    <col min="11016" max="11016" width="19.140625" style="327" customWidth="1"/>
    <col min="11017" max="11017" width="18.8515625" style="327" customWidth="1"/>
    <col min="11018" max="11018" width="9.28125" style="327" customWidth="1"/>
    <col min="11019" max="11019" width="7.00390625" style="327" customWidth="1"/>
    <col min="11020" max="11020" width="4.28125" style="327" customWidth="1"/>
    <col min="11021" max="11021" width="18.8515625" style="327" customWidth="1"/>
    <col min="11022" max="11022" width="15.140625" style="327" customWidth="1"/>
    <col min="11023" max="11023" width="9.28125" style="327" customWidth="1"/>
    <col min="11024" max="11024" width="21.7109375" style="327" customWidth="1"/>
    <col min="11025" max="11025" width="17.7109375" style="327" customWidth="1"/>
    <col min="11026" max="11264" width="9.28125" style="327" customWidth="1"/>
    <col min="11265" max="11265" width="4.140625" style="327" customWidth="1"/>
    <col min="11266" max="11266" width="9.28125" style="327" customWidth="1"/>
    <col min="11267" max="11267" width="47.28125" style="327" customWidth="1"/>
    <col min="11268" max="11268" width="47.421875" style="327" customWidth="1"/>
    <col min="11269" max="11269" width="20.140625" style="327" customWidth="1"/>
    <col min="11270" max="11270" width="9.28125" style="327" customWidth="1"/>
    <col min="11271" max="11271" width="8.28125" style="327" customWidth="1"/>
    <col min="11272" max="11272" width="19.140625" style="327" customWidth="1"/>
    <col min="11273" max="11273" width="18.8515625" style="327" customWidth="1"/>
    <col min="11274" max="11274" width="9.28125" style="327" customWidth="1"/>
    <col min="11275" max="11275" width="7.00390625" style="327" customWidth="1"/>
    <col min="11276" max="11276" width="4.28125" style="327" customWidth="1"/>
    <col min="11277" max="11277" width="18.8515625" style="327" customWidth="1"/>
    <col min="11278" max="11278" width="15.140625" style="327" customWidth="1"/>
    <col min="11279" max="11279" width="9.28125" style="327" customWidth="1"/>
    <col min="11280" max="11280" width="21.7109375" style="327" customWidth="1"/>
    <col min="11281" max="11281" width="17.7109375" style="327" customWidth="1"/>
    <col min="11282" max="11520" width="9.28125" style="327" customWidth="1"/>
    <col min="11521" max="11521" width="4.140625" style="327" customWidth="1"/>
    <col min="11522" max="11522" width="9.28125" style="327" customWidth="1"/>
    <col min="11523" max="11523" width="47.28125" style="327" customWidth="1"/>
    <col min="11524" max="11524" width="47.421875" style="327" customWidth="1"/>
    <col min="11525" max="11525" width="20.140625" style="327" customWidth="1"/>
    <col min="11526" max="11526" width="9.28125" style="327" customWidth="1"/>
    <col min="11527" max="11527" width="8.28125" style="327" customWidth="1"/>
    <col min="11528" max="11528" width="19.140625" style="327" customWidth="1"/>
    <col min="11529" max="11529" width="18.8515625" style="327" customWidth="1"/>
    <col min="11530" max="11530" width="9.28125" style="327" customWidth="1"/>
    <col min="11531" max="11531" width="7.00390625" style="327" customWidth="1"/>
    <col min="11532" max="11532" width="4.28125" style="327" customWidth="1"/>
    <col min="11533" max="11533" width="18.8515625" style="327" customWidth="1"/>
    <col min="11534" max="11534" width="15.140625" style="327" customWidth="1"/>
    <col min="11535" max="11535" width="9.28125" style="327" customWidth="1"/>
    <col min="11536" max="11536" width="21.7109375" style="327" customWidth="1"/>
    <col min="11537" max="11537" width="17.7109375" style="327" customWidth="1"/>
    <col min="11538" max="11776" width="9.28125" style="327" customWidth="1"/>
    <col min="11777" max="11777" width="4.140625" style="327" customWidth="1"/>
    <col min="11778" max="11778" width="9.28125" style="327" customWidth="1"/>
    <col min="11779" max="11779" width="47.28125" style="327" customWidth="1"/>
    <col min="11780" max="11780" width="47.421875" style="327" customWidth="1"/>
    <col min="11781" max="11781" width="20.140625" style="327" customWidth="1"/>
    <col min="11782" max="11782" width="9.28125" style="327" customWidth="1"/>
    <col min="11783" max="11783" width="8.28125" style="327" customWidth="1"/>
    <col min="11784" max="11784" width="19.140625" style="327" customWidth="1"/>
    <col min="11785" max="11785" width="18.8515625" style="327" customWidth="1"/>
    <col min="11786" max="11786" width="9.28125" style="327" customWidth="1"/>
    <col min="11787" max="11787" width="7.00390625" style="327" customWidth="1"/>
    <col min="11788" max="11788" width="4.28125" style="327" customWidth="1"/>
    <col min="11789" max="11789" width="18.8515625" style="327" customWidth="1"/>
    <col min="11790" max="11790" width="15.140625" style="327" customWidth="1"/>
    <col min="11791" max="11791" width="9.28125" style="327" customWidth="1"/>
    <col min="11792" max="11792" width="21.7109375" style="327" customWidth="1"/>
    <col min="11793" max="11793" width="17.7109375" style="327" customWidth="1"/>
    <col min="11794" max="12032" width="9.28125" style="327" customWidth="1"/>
    <col min="12033" max="12033" width="4.140625" style="327" customWidth="1"/>
    <col min="12034" max="12034" width="9.28125" style="327" customWidth="1"/>
    <col min="12035" max="12035" width="47.28125" style="327" customWidth="1"/>
    <col min="12036" max="12036" width="47.421875" style="327" customWidth="1"/>
    <col min="12037" max="12037" width="20.140625" style="327" customWidth="1"/>
    <col min="12038" max="12038" width="9.28125" style="327" customWidth="1"/>
    <col min="12039" max="12039" width="8.28125" style="327" customWidth="1"/>
    <col min="12040" max="12040" width="19.140625" style="327" customWidth="1"/>
    <col min="12041" max="12041" width="18.8515625" style="327" customWidth="1"/>
    <col min="12042" max="12042" width="9.28125" style="327" customWidth="1"/>
    <col min="12043" max="12043" width="7.00390625" style="327" customWidth="1"/>
    <col min="12044" max="12044" width="4.28125" style="327" customWidth="1"/>
    <col min="12045" max="12045" width="18.8515625" style="327" customWidth="1"/>
    <col min="12046" max="12046" width="15.140625" style="327" customWidth="1"/>
    <col min="12047" max="12047" width="9.28125" style="327" customWidth="1"/>
    <col min="12048" max="12048" width="21.7109375" style="327" customWidth="1"/>
    <col min="12049" max="12049" width="17.7109375" style="327" customWidth="1"/>
    <col min="12050" max="12288" width="9.28125" style="327" customWidth="1"/>
    <col min="12289" max="12289" width="4.140625" style="327" customWidth="1"/>
    <col min="12290" max="12290" width="9.28125" style="327" customWidth="1"/>
    <col min="12291" max="12291" width="47.28125" style="327" customWidth="1"/>
    <col min="12292" max="12292" width="47.421875" style="327" customWidth="1"/>
    <col min="12293" max="12293" width="20.140625" style="327" customWidth="1"/>
    <col min="12294" max="12294" width="9.28125" style="327" customWidth="1"/>
    <col min="12295" max="12295" width="8.28125" style="327" customWidth="1"/>
    <col min="12296" max="12296" width="19.140625" style="327" customWidth="1"/>
    <col min="12297" max="12297" width="18.8515625" style="327" customWidth="1"/>
    <col min="12298" max="12298" width="9.28125" style="327" customWidth="1"/>
    <col min="12299" max="12299" width="7.00390625" style="327" customWidth="1"/>
    <col min="12300" max="12300" width="4.28125" style="327" customWidth="1"/>
    <col min="12301" max="12301" width="18.8515625" style="327" customWidth="1"/>
    <col min="12302" max="12302" width="15.140625" style="327" customWidth="1"/>
    <col min="12303" max="12303" width="9.28125" style="327" customWidth="1"/>
    <col min="12304" max="12304" width="21.7109375" style="327" customWidth="1"/>
    <col min="12305" max="12305" width="17.7109375" style="327" customWidth="1"/>
    <col min="12306" max="12544" width="9.28125" style="327" customWidth="1"/>
    <col min="12545" max="12545" width="4.140625" style="327" customWidth="1"/>
    <col min="12546" max="12546" width="9.28125" style="327" customWidth="1"/>
    <col min="12547" max="12547" width="47.28125" style="327" customWidth="1"/>
    <col min="12548" max="12548" width="47.421875" style="327" customWidth="1"/>
    <col min="12549" max="12549" width="20.140625" style="327" customWidth="1"/>
    <col min="12550" max="12550" width="9.28125" style="327" customWidth="1"/>
    <col min="12551" max="12551" width="8.28125" style="327" customWidth="1"/>
    <col min="12552" max="12552" width="19.140625" style="327" customWidth="1"/>
    <col min="12553" max="12553" width="18.8515625" style="327" customWidth="1"/>
    <col min="12554" max="12554" width="9.28125" style="327" customWidth="1"/>
    <col min="12555" max="12555" width="7.00390625" style="327" customWidth="1"/>
    <col min="12556" max="12556" width="4.28125" style="327" customWidth="1"/>
    <col min="12557" max="12557" width="18.8515625" style="327" customWidth="1"/>
    <col min="12558" max="12558" width="15.140625" style="327" customWidth="1"/>
    <col min="12559" max="12559" width="9.28125" style="327" customWidth="1"/>
    <col min="12560" max="12560" width="21.7109375" style="327" customWidth="1"/>
    <col min="12561" max="12561" width="17.7109375" style="327" customWidth="1"/>
    <col min="12562" max="12800" width="9.28125" style="327" customWidth="1"/>
    <col min="12801" max="12801" width="4.140625" style="327" customWidth="1"/>
    <col min="12802" max="12802" width="9.28125" style="327" customWidth="1"/>
    <col min="12803" max="12803" width="47.28125" style="327" customWidth="1"/>
    <col min="12804" max="12804" width="47.421875" style="327" customWidth="1"/>
    <col min="12805" max="12805" width="20.140625" style="327" customWidth="1"/>
    <col min="12806" max="12806" width="9.28125" style="327" customWidth="1"/>
    <col min="12807" max="12807" width="8.28125" style="327" customWidth="1"/>
    <col min="12808" max="12808" width="19.140625" style="327" customWidth="1"/>
    <col min="12809" max="12809" width="18.8515625" style="327" customWidth="1"/>
    <col min="12810" max="12810" width="9.28125" style="327" customWidth="1"/>
    <col min="12811" max="12811" width="7.00390625" style="327" customWidth="1"/>
    <col min="12812" max="12812" width="4.28125" style="327" customWidth="1"/>
    <col min="12813" max="12813" width="18.8515625" style="327" customWidth="1"/>
    <col min="12814" max="12814" width="15.140625" style="327" customWidth="1"/>
    <col min="12815" max="12815" width="9.28125" style="327" customWidth="1"/>
    <col min="12816" max="12816" width="21.7109375" style="327" customWidth="1"/>
    <col min="12817" max="12817" width="17.7109375" style="327" customWidth="1"/>
    <col min="12818" max="13056" width="9.28125" style="327" customWidth="1"/>
    <col min="13057" max="13057" width="4.140625" style="327" customWidth="1"/>
    <col min="13058" max="13058" width="9.28125" style="327" customWidth="1"/>
    <col min="13059" max="13059" width="47.28125" style="327" customWidth="1"/>
    <col min="13060" max="13060" width="47.421875" style="327" customWidth="1"/>
    <col min="13061" max="13061" width="20.140625" style="327" customWidth="1"/>
    <col min="13062" max="13062" width="9.28125" style="327" customWidth="1"/>
    <col min="13063" max="13063" width="8.28125" style="327" customWidth="1"/>
    <col min="13064" max="13064" width="19.140625" style="327" customWidth="1"/>
    <col min="13065" max="13065" width="18.8515625" style="327" customWidth="1"/>
    <col min="13066" max="13066" width="9.28125" style="327" customWidth="1"/>
    <col min="13067" max="13067" width="7.00390625" style="327" customWidth="1"/>
    <col min="13068" max="13068" width="4.28125" style="327" customWidth="1"/>
    <col min="13069" max="13069" width="18.8515625" style="327" customWidth="1"/>
    <col min="13070" max="13070" width="15.140625" style="327" customWidth="1"/>
    <col min="13071" max="13071" width="9.28125" style="327" customWidth="1"/>
    <col min="13072" max="13072" width="21.7109375" style="327" customWidth="1"/>
    <col min="13073" max="13073" width="17.7109375" style="327" customWidth="1"/>
    <col min="13074" max="13312" width="9.28125" style="327" customWidth="1"/>
    <col min="13313" max="13313" width="4.140625" style="327" customWidth="1"/>
    <col min="13314" max="13314" width="9.28125" style="327" customWidth="1"/>
    <col min="13315" max="13315" width="47.28125" style="327" customWidth="1"/>
    <col min="13316" max="13316" width="47.421875" style="327" customWidth="1"/>
    <col min="13317" max="13317" width="20.140625" style="327" customWidth="1"/>
    <col min="13318" max="13318" width="9.28125" style="327" customWidth="1"/>
    <col min="13319" max="13319" width="8.28125" style="327" customWidth="1"/>
    <col min="13320" max="13320" width="19.140625" style="327" customWidth="1"/>
    <col min="13321" max="13321" width="18.8515625" style="327" customWidth="1"/>
    <col min="13322" max="13322" width="9.28125" style="327" customWidth="1"/>
    <col min="13323" max="13323" width="7.00390625" style="327" customWidth="1"/>
    <col min="13324" max="13324" width="4.28125" style="327" customWidth="1"/>
    <col min="13325" max="13325" width="18.8515625" style="327" customWidth="1"/>
    <col min="13326" max="13326" width="15.140625" style="327" customWidth="1"/>
    <col min="13327" max="13327" width="9.28125" style="327" customWidth="1"/>
    <col min="13328" max="13328" width="21.7109375" style="327" customWidth="1"/>
    <col min="13329" max="13329" width="17.7109375" style="327" customWidth="1"/>
    <col min="13330" max="13568" width="9.28125" style="327" customWidth="1"/>
    <col min="13569" max="13569" width="4.140625" style="327" customWidth="1"/>
    <col min="13570" max="13570" width="9.28125" style="327" customWidth="1"/>
    <col min="13571" max="13571" width="47.28125" style="327" customWidth="1"/>
    <col min="13572" max="13572" width="47.421875" style="327" customWidth="1"/>
    <col min="13573" max="13573" width="20.140625" style="327" customWidth="1"/>
    <col min="13574" max="13574" width="9.28125" style="327" customWidth="1"/>
    <col min="13575" max="13575" width="8.28125" style="327" customWidth="1"/>
    <col min="13576" max="13576" width="19.140625" style="327" customWidth="1"/>
    <col min="13577" max="13577" width="18.8515625" style="327" customWidth="1"/>
    <col min="13578" max="13578" width="9.28125" style="327" customWidth="1"/>
    <col min="13579" max="13579" width="7.00390625" style="327" customWidth="1"/>
    <col min="13580" max="13580" width="4.28125" style="327" customWidth="1"/>
    <col min="13581" max="13581" width="18.8515625" style="327" customWidth="1"/>
    <col min="13582" max="13582" width="15.140625" style="327" customWidth="1"/>
    <col min="13583" max="13583" width="9.28125" style="327" customWidth="1"/>
    <col min="13584" max="13584" width="21.7109375" style="327" customWidth="1"/>
    <col min="13585" max="13585" width="17.7109375" style="327" customWidth="1"/>
    <col min="13586" max="13824" width="9.28125" style="327" customWidth="1"/>
    <col min="13825" max="13825" width="4.140625" style="327" customWidth="1"/>
    <col min="13826" max="13826" width="9.28125" style="327" customWidth="1"/>
    <col min="13827" max="13827" width="47.28125" style="327" customWidth="1"/>
    <col min="13828" max="13828" width="47.421875" style="327" customWidth="1"/>
    <col min="13829" max="13829" width="20.140625" style="327" customWidth="1"/>
    <col min="13830" max="13830" width="9.28125" style="327" customWidth="1"/>
    <col min="13831" max="13831" width="8.28125" style="327" customWidth="1"/>
    <col min="13832" max="13832" width="19.140625" style="327" customWidth="1"/>
    <col min="13833" max="13833" width="18.8515625" style="327" customWidth="1"/>
    <col min="13834" max="13834" width="9.28125" style="327" customWidth="1"/>
    <col min="13835" max="13835" width="7.00390625" style="327" customWidth="1"/>
    <col min="13836" max="13836" width="4.28125" style="327" customWidth="1"/>
    <col min="13837" max="13837" width="18.8515625" style="327" customWidth="1"/>
    <col min="13838" max="13838" width="15.140625" style="327" customWidth="1"/>
    <col min="13839" max="13839" width="9.28125" style="327" customWidth="1"/>
    <col min="13840" max="13840" width="21.7109375" style="327" customWidth="1"/>
    <col min="13841" max="13841" width="17.7109375" style="327" customWidth="1"/>
    <col min="13842" max="14080" width="9.28125" style="327" customWidth="1"/>
    <col min="14081" max="14081" width="4.140625" style="327" customWidth="1"/>
    <col min="14082" max="14082" width="9.28125" style="327" customWidth="1"/>
    <col min="14083" max="14083" width="47.28125" style="327" customWidth="1"/>
    <col min="14084" max="14084" width="47.421875" style="327" customWidth="1"/>
    <col min="14085" max="14085" width="20.140625" style="327" customWidth="1"/>
    <col min="14086" max="14086" width="9.28125" style="327" customWidth="1"/>
    <col min="14087" max="14087" width="8.28125" style="327" customWidth="1"/>
    <col min="14088" max="14088" width="19.140625" style="327" customWidth="1"/>
    <col min="14089" max="14089" width="18.8515625" style="327" customWidth="1"/>
    <col min="14090" max="14090" width="9.28125" style="327" customWidth="1"/>
    <col min="14091" max="14091" width="7.00390625" style="327" customWidth="1"/>
    <col min="14092" max="14092" width="4.28125" style="327" customWidth="1"/>
    <col min="14093" max="14093" width="18.8515625" style="327" customWidth="1"/>
    <col min="14094" max="14094" width="15.140625" style="327" customWidth="1"/>
    <col min="14095" max="14095" width="9.28125" style="327" customWidth="1"/>
    <col min="14096" max="14096" width="21.7109375" style="327" customWidth="1"/>
    <col min="14097" max="14097" width="17.7109375" style="327" customWidth="1"/>
    <col min="14098" max="14336" width="9.28125" style="327" customWidth="1"/>
    <col min="14337" max="14337" width="4.140625" style="327" customWidth="1"/>
    <col min="14338" max="14338" width="9.28125" style="327" customWidth="1"/>
    <col min="14339" max="14339" width="47.28125" style="327" customWidth="1"/>
    <col min="14340" max="14340" width="47.421875" style="327" customWidth="1"/>
    <col min="14341" max="14341" width="20.140625" style="327" customWidth="1"/>
    <col min="14342" max="14342" width="9.28125" style="327" customWidth="1"/>
    <col min="14343" max="14343" width="8.28125" style="327" customWidth="1"/>
    <col min="14344" max="14344" width="19.140625" style="327" customWidth="1"/>
    <col min="14345" max="14345" width="18.8515625" style="327" customWidth="1"/>
    <col min="14346" max="14346" width="9.28125" style="327" customWidth="1"/>
    <col min="14347" max="14347" width="7.00390625" style="327" customWidth="1"/>
    <col min="14348" max="14348" width="4.28125" style="327" customWidth="1"/>
    <col min="14349" max="14349" width="18.8515625" style="327" customWidth="1"/>
    <col min="14350" max="14350" width="15.140625" style="327" customWidth="1"/>
    <col min="14351" max="14351" width="9.28125" style="327" customWidth="1"/>
    <col min="14352" max="14352" width="21.7109375" style="327" customWidth="1"/>
    <col min="14353" max="14353" width="17.7109375" style="327" customWidth="1"/>
    <col min="14354" max="14592" width="9.28125" style="327" customWidth="1"/>
    <col min="14593" max="14593" width="4.140625" style="327" customWidth="1"/>
    <col min="14594" max="14594" width="9.28125" style="327" customWidth="1"/>
    <col min="14595" max="14595" width="47.28125" style="327" customWidth="1"/>
    <col min="14596" max="14596" width="47.421875" style="327" customWidth="1"/>
    <col min="14597" max="14597" width="20.140625" style="327" customWidth="1"/>
    <col min="14598" max="14598" width="9.28125" style="327" customWidth="1"/>
    <col min="14599" max="14599" width="8.28125" style="327" customWidth="1"/>
    <col min="14600" max="14600" width="19.140625" style="327" customWidth="1"/>
    <col min="14601" max="14601" width="18.8515625" style="327" customWidth="1"/>
    <col min="14602" max="14602" width="9.28125" style="327" customWidth="1"/>
    <col min="14603" max="14603" width="7.00390625" style="327" customWidth="1"/>
    <col min="14604" max="14604" width="4.28125" style="327" customWidth="1"/>
    <col min="14605" max="14605" width="18.8515625" style="327" customWidth="1"/>
    <col min="14606" max="14606" width="15.140625" style="327" customWidth="1"/>
    <col min="14607" max="14607" width="9.28125" style="327" customWidth="1"/>
    <col min="14608" max="14608" width="21.7109375" style="327" customWidth="1"/>
    <col min="14609" max="14609" width="17.7109375" style="327" customWidth="1"/>
    <col min="14610" max="14848" width="9.28125" style="327" customWidth="1"/>
    <col min="14849" max="14849" width="4.140625" style="327" customWidth="1"/>
    <col min="14850" max="14850" width="9.28125" style="327" customWidth="1"/>
    <col min="14851" max="14851" width="47.28125" style="327" customWidth="1"/>
    <col min="14852" max="14852" width="47.421875" style="327" customWidth="1"/>
    <col min="14853" max="14853" width="20.140625" style="327" customWidth="1"/>
    <col min="14854" max="14854" width="9.28125" style="327" customWidth="1"/>
    <col min="14855" max="14855" width="8.28125" style="327" customWidth="1"/>
    <col min="14856" max="14856" width="19.140625" style="327" customWidth="1"/>
    <col min="14857" max="14857" width="18.8515625" style="327" customWidth="1"/>
    <col min="14858" max="14858" width="9.28125" style="327" customWidth="1"/>
    <col min="14859" max="14859" width="7.00390625" style="327" customWidth="1"/>
    <col min="14860" max="14860" width="4.28125" style="327" customWidth="1"/>
    <col min="14861" max="14861" width="18.8515625" style="327" customWidth="1"/>
    <col min="14862" max="14862" width="15.140625" style="327" customWidth="1"/>
    <col min="14863" max="14863" width="9.28125" style="327" customWidth="1"/>
    <col min="14864" max="14864" width="21.7109375" style="327" customWidth="1"/>
    <col min="14865" max="14865" width="17.7109375" style="327" customWidth="1"/>
    <col min="14866" max="15104" width="9.28125" style="327" customWidth="1"/>
    <col min="15105" max="15105" width="4.140625" style="327" customWidth="1"/>
    <col min="15106" max="15106" width="9.28125" style="327" customWidth="1"/>
    <col min="15107" max="15107" width="47.28125" style="327" customWidth="1"/>
    <col min="15108" max="15108" width="47.421875" style="327" customWidth="1"/>
    <col min="15109" max="15109" width="20.140625" style="327" customWidth="1"/>
    <col min="15110" max="15110" width="9.28125" style="327" customWidth="1"/>
    <col min="15111" max="15111" width="8.28125" style="327" customWidth="1"/>
    <col min="15112" max="15112" width="19.140625" style="327" customWidth="1"/>
    <col min="15113" max="15113" width="18.8515625" style="327" customWidth="1"/>
    <col min="15114" max="15114" width="9.28125" style="327" customWidth="1"/>
    <col min="15115" max="15115" width="7.00390625" style="327" customWidth="1"/>
    <col min="15116" max="15116" width="4.28125" style="327" customWidth="1"/>
    <col min="15117" max="15117" width="18.8515625" style="327" customWidth="1"/>
    <col min="15118" max="15118" width="15.140625" style="327" customWidth="1"/>
    <col min="15119" max="15119" width="9.28125" style="327" customWidth="1"/>
    <col min="15120" max="15120" width="21.7109375" style="327" customWidth="1"/>
    <col min="15121" max="15121" width="17.7109375" style="327" customWidth="1"/>
    <col min="15122" max="15360" width="9.28125" style="327" customWidth="1"/>
    <col min="15361" max="15361" width="4.140625" style="327" customWidth="1"/>
    <col min="15362" max="15362" width="9.28125" style="327" customWidth="1"/>
    <col min="15363" max="15363" width="47.28125" style="327" customWidth="1"/>
    <col min="15364" max="15364" width="47.421875" style="327" customWidth="1"/>
    <col min="15365" max="15365" width="20.140625" style="327" customWidth="1"/>
    <col min="15366" max="15366" width="9.28125" style="327" customWidth="1"/>
    <col min="15367" max="15367" width="8.28125" style="327" customWidth="1"/>
    <col min="15368" max="15368" width="19.140625" style="327" customWidth="1"/>
    <col min="15369" max="15369" width="18.8515625" style="327" customWidth="1"/>
    <col min="15370" max="15370" width="9.28125" style="327" customWidth="1"/>
    <col min="15371" max="15371" width="7.00390625" style="327" customWidth="1"/>
    <col min="15372" max="15372" width="4.28125" style="327" customWidth="1"/>
    <col min="15373" max="15373" width="18.8515625" style="327" customWidth="1"/>
    <col min="15374" max="15374" width="15.140625" style="327" customWidth="1"/>
    <col min="15375" max="15375" width="9.28125" style="327" customWidth="1"/>
    <col min="15376" max="15376" width="21.7109375" style="327" customWidth="1"/>
    <col min="15377" max="15377" width="17.7109375" style="327" customWidth="1"/>
    <col min="15378" max="15616" width="9.28125" style="327" customWidth="1"/>
    <col min="15617" max="15617" width="4.140625" style="327" customWidth="1"/>
    <col min="15618" max="15618" width="9.28125" style="327" customWidth="1"/>
    <col min="15619" max="15619" width="47.28125" style="327" customWidth="1"/>
    <col min="15620" max="15620" width="47.421875" style="327" customWidth="1"/>
    <col min="15621" max="15621" width="20.140625" style="327" customWidth="1"/>
    <col min="15622" max="15622" width="9.28125" style="327" customWidth="1"/>
    <col min="15623" max="15623" width="8.28125" style="327" customWidth="1"/>
    <col min="15624" max="15624" width="19.140625" style="327" customWidth="1"/>
    <col min="15625" max="15625" width="18.8515625" style="327" customWidth="1"/>
    <col min="15626" max="15626" width="9.28125" style="327" customWidth="1"/>
    <col min="15627" max="15627" width="7.00390625" style="327" customWidth="1"/>
    <col min="15628" max="15628" width="4.28125" style="327" customWidth="1"/>
    <col min="15629" max="15629" width="18.8515625" style="327" customWidth="1"/>
    <col min="15630" max="15630" width="15.140625" style="327" customWidth="1"/>
    <col min="15631" max="15631" width="9.28125" style="327" customWidth="1"/>
    <col min="15632" max="15632" width="21.7109375" style="327" customWidth="1"/>
    <col min="15633" max="15633" width="17.7109375" style="327" customWidth="1"/>
    <col min="15634" max="15872" width="9.28125" style="327" customWidth="1"/>
    <col min="15873" max="15873" width="4.140625" style="327" customWidth="1"/>
    <col min="15874" max="15874" width="9.28125" style="327" customWidth="1"/>
    <col min="15875" max="15875" width="47.28125" style="327" customWidth="1"/>
    <col min="15876" max="15876" width="47.421875" style="327" customWidth="1"/>
    <col min="15877" max="15877" width="20.140625" style="327" customWidth="1"/>
    <col min="15878" max="15878" width="9.28125" style="327" customWidth="1"/>
    <col min="15879" max="15879" width="8.28125" style="327" customWidth="1"/>
    <col min="15880" max="15880" width="19.140625" style="327" customWidth="1"/>
    <col min="15881" max="15881" width="18.8515625" style="327" customWidth="1"/>
    <col min="15882" max="15882" width="9.28125" style="327" customWidth="1"/>
    <col min="15883" max="15883" width="7.00390625" style="327" customWidth="1"/>
    <col min="15884" max="15884" width="4.28125" style="327" customWidth="1"/>
    <col min="15885" max="15885" width="18.8515625" style="327" customWidth="1"/>
    <col min="15886" max="15886" width="15.140625" style="327" customWidth="1"/>
    <col min="15887" max="15887" width="9.28125" style="327" customWidth="1"/>
    <col min="15888" max="15888" width="21.7109375" style="327" customWidth="1"/>
    <col min="15889" max="15889" width="17.7109375" style="327" customWidth="1"/>
    <col min="15890" max="16128" width="9.28125" style="327" customWidth="1"/>
    <col min="16129" max="16129" width="4.140625" style="327" customWidth="1"/>
    <col min="16130" max="16130" width="9.28125" style="327" customWidth="1"/>
    <col min="16131" max="16131" width="47.28125" style="327" customWidth="1"/>
    <col min="16132" max="16132" width="47.421875" style="327" customWidth="1"/>
    <col min="16133" max="16133" width="20.140625" style="327" customWidth="1"/>
    <col min="16134" max="16134" width="9.28125" style="327" customWidth="1"/>
    <col min="16135" max="16135" width="8.28125" style="327" customWidth="1"/>
    <col min="16136" max="16136" width="19.140625" style="327" customWidth="1"/>
    <col min="16137" max="16137" width="18.8515625" style="327" customWidth="1"/>
    <col min="16138" max="16138" width="9.28125" style="327" customWidth="1"/>
    <col min="16139" max="16139" width="7.00390625" style="327" customWidth="1"/>
    <col min="16140" max="16140" width="4.28125" style="327" customWidth="1"/>
    <col min="16141" max="16141" width="18.8515625" style="327" customWidth="1"/>
    <col min="16142" max="16142" width="15.140625" style="327" customWidth="1"/>
    <col min="16143" max="16143" width="9.28125" style="327" customWidth="1"/>
    <col min="16144" max="16144" width="21.7109375" style="327" customWidth="1"/>
    <col min="16145" max="16145" width="17.7109375" style="327" customWidth="1"/>
    <col min="16146" max="16384" width="9.28125" style="327" customWidth="1"/>
  </cols>
  <sheetData>
    <row r="1" spans="2:7" ht="18.75">
      <c r="B1" s="327" t="s">
        <v>4524</v>
      </c>
      <c r="C1" s="328" t="s">
        <v>4525</v>
      </c>
      <c r="D1" s="329"/>
      <c r="E1" s="329"/>
      <c r="F1" s="330"/>
      <c r="G1" s="331"/>
    </row>
    <row r="2" spans="3:9" ht="15.75">
      <c r="C2" s="329" t="s">
        <v>4526</v>
      </c>
      <c r="E2" s="332"/>
      <c r="G2" s="334"/>
      <c r="I2" s="335"/>
    </row>
    <row r="3" spans="3:7" ht="12">
      <c r="C3" s="336" t="s">
        <v>134</v>
      </c>
      <c r="D3" s="336"/>
      <c r="E3" s="332"/>
      <c r="G3" s="334"/>
    </row>
    <row r="4" spans="3:7" ht="12">
      <c r="C4" s="336"/>
      <c r="D4" s="336"/>
      <c r="E4" s="332"/>
      <c r="G4" s="334"/>
    </row>
    <row r="5" spans="3:7" ht="12">
      <c r="C5" s="337" t="s">
        <v>4527</v>
      </c>
      <c r="D5" s="336"/>
      <c r="E5" s="332"/>
      <c r="G5" s="334"/>
    </row>
    <row r="6" spans="3:7" ht="12">
      <c r="C6" s="337" t="s">
        <v>4528</v>
      </c>
      <c r="D6" s="332"/>
      <c r="E6" s="332"/>
      <c r="G6" s="334"/>
    </row>
    <row r="7" spans="3:6" ht="13.5" thickBot="1">
      <c r="C7" s="338"/>
      <c r="D7" s="336"/>
      <c r="E7" s="336"/>
      <c r="F7" s="339"/>
    </row>
    <row r="8" spans="2:9" ht="13.5" thickBot="1">
      <c r="B8" s="341" t="s">
        <v>4529</v>
      </c>
      <c r="C8" s="342" t="s">
        <v>4530</v>
      </c>
      <c r="D8" s="342" t="s">
        <v>4531</v>
      </c>
      <c r="E8" s="342" t="s">
        <v>4532</v>
      </c>
      <c r="F8" s="343" t="s">
        <v>4533</v>
      </c>
      <c r="G8" s="344" t="s">
        <v>4534</v>
      </c>
      <c r="H8" s="345" t="s">
        <v>4535</v>
      </c>
      <c r="I8" s="346" t="s">
        <v>4536</v>
      </c>
    </row>
    <row r="9" spans="2:14" ht="12">
      <c r="B9" s="347">
        <v>1</v>
      </c>
      <c r="C9" s="348" t="s">
        <v>4537</v>
      </c>
      <c r="D9" s="348" t="s">
        <v>4538</v>
      </c>
      <c r="E9" s="348"/>
      <c r="F9" s="349">
        <v>1</v>
      </c>
      <c r="G9" s="350" t="s">
        <v>4539</v>
      </c>
      <c r="H9" s="351"/>
      <c r="I9" s="352">
        <f aca="true" t="shared" si="0" ref="I9:I64">F9*H9</f>
        <v>0</v>
      </c>
      <c r="K9" s="332"/>
      <c r="M9" s="335"/>
      <c r="N9" s="335"/>
    </row>
    <row r="10" spans="2:14" ht="12">
      <c r="B10" s="353">
        <v>2</v>
      </c>
      <c r="C10" s="354" t="s">
        <v>4540</v>
      </c>
      <c r="D10" s="354" t="s">
        <v>4541</v>
      </c>
      <c r="E10" s="354"/>
      <c r="F10" s="355">
        <v>1</v>
      </c>
      <c r="G10" s="356" t="s">
        <v>4539</v>
      </c>
      <c r="H10" s="357"/>
      <c r="I10" s="358">
        <f t="shared" si="0"/>
        <v>0</v>
      </c>
      <c r="K10" s="332"/>
      <c r="M10" s="335"/>
      <c r="N10" s="335"/>
    </row>
    <row r="11" spans="2:14" ht="12">
      <c r="B11" s="353">
        <v>3</v>
      </c>
      <c r="C11" s="354" t="s">
        <v>4542</v>
      </c>
      <c r="D11" s="354" t="s">
        <v>4543</v>
      </c>
      <c r="E11" s="354" t="s">
        <v>4544</v>
      </c>
      <c r="F11" s="355">
        <v>20</v>
      </c>
      <c r="G11" s="356" t="s">
        <v>476</v>
      </c>
      <c r="H11" s="357"/>
      <c r="I11" s="358">
        <f t="shared" si="0"/>
        <v>0</v>
      </c>
      <c r="K11" s="332"/>
      <c r="M11" s="335"/>
      <c r="N11" s="335"/>
    </row>
    <row r="12" spans="2:14" ht="12">
      <c r="B12" s="353">
        <v>4</v>
      </c>
      <c r="C12" s="354" t="s">
        <v>4542</v>
      </c>
      <c r="D12" s="354" t="s">
        <v>4545</v>
      </c>
      <c r="E12" s="354" t="s">
        <v>4544</v>
      </c>
      <c r="F12" s="355">
        <v>240</v>
      </c>
      <c r="G12" s="356" t="s">
        <v>476</v>
      </c>
      <c r="H12" s="357"/>
      <c r="I12" s="358">
        <f t="shared" si="0"/>
        <v>0</v>
      </c>
      <c r="K12" s="332"/>
      <c r="M12" s="335"/>
      <c r="N12" s="335"/>
    </row>
    <row r="13" spans="2:14" ht="12">
      <c r="B13" s="353">
        <v>5</v>
      </c>
      <c r="C13" s="354" t="s">
        <v>4542</v>
      </c>
      <c r="D13" s="354" t="s">
        <v>4546</v>
      </c>
      <c r="E13" s="354" t="s">
        <v>4544</v>
      </c>
      <c r="F13" s="355">
        <v>50</v>
      </c>
      <c r="G13" s="356" t="s">
        <v>476</v>
      </c>
      <c r="H13" s="357"/>
      <c r="I13" s="358">
        <f t="shared" si="0"/>
        <v>0</v>
      </c>
      <c r="K13" s="332"/>
      <c r="M13" s="335"/>
      <c r="N13" s="335"/>
    </row>
    <row r="14" spans="2:14" ht="12">
      <c r="B14" s="353">
        <v>6</v>
      </c>
      <c r="C14" s="354" t="s">
        <v>4542</v>
      </c>
      <c r="D14" s="354" t="s">
        <v>4547</v>
      </c>
      <c r="E14" s="354" t="s">
        <v>4544</v>
      </c>
      <c r="F14" s="355">
        <v>10</v>
      </c>
      <c r="G14" s="356" t="s">
        <v>476</v>
      </c>
      <c r="H14" s="357"/>
      <c r="I14" s="358">
        <f t="shared" si="0"/>
        <v>0</v>
      </c>
      <c r="K14" s="332"/>
      <c r="M14" s="335"/>
      <c r="N14" s="335"/>
    </row>
    <row r="15" spans="2:14" ht="12">
      <c r="B15" s="353">
        <v>7</v>
      </c>
      <c r="C15" s="354" t="s">
        <v>4542</v>
      </c>
      <c r="D15" s="354" t="s">
        <v>4548</v>
      </c>
      <c r="E15" s="354" t="s">
        <v>4544</v>
      </c>
      <c r="F15" s="355">
        <v>5</v>
      </c>
      <c r="G15" s="356" t="s">
        <v>476</v>
      </c>
      <c r="H15" s="357"/>
      <c r="I15" s="358">
        <f t="shared" si="0"/>
        <v>0</v>
      </c>
      <c r="K15" s="332"/>
      <c r="M15" s="335"/>
      <c r="N15" s="335"/>
    </row>
    <row r="16" spans="2:14" ht="12">
      <c r="B16" s="353">
        <v>8</v>
      </c>
      <c r="C16" s="354" t="s">
        <v>4549</v>
      </c>
      <c r="D16" s="354" t="s">
        <v>4550</v>
      </c>
      <c r="E16" s="354" t="s">
        <v>4544</v>
      </c>
      <c r="F16" s="355">
        <v>110</v>
      </c>
      <c r="G16" s="356" t="s">
        <v>476</v>
      </c>
      <c r="H16" s="357"/>
      <c r="I16" s="358">
        <f t="shared" si="0"/>
        <v>0</v>
      </c>
      <c r="K16" s="332"/>
      <c r="M16" s="335"/>
      <c r="N16" s="335"/>
    </row>
    <row r="17" spans="2:14" ht="12">
      <c r="B17" s="353">
        <v>9</v>
      </c>
      <c r="C17" s="354" t="s">
        <v>4549</v>
      </c>
      <c r="D17" s="354" t="s">
        <v>4551</v>
      </c>
      <c r="E17" s="354" t="s">
        <v>4544</v>
      </c>
      <c r="F17" s="355">
        <v>50</v>
      </c>
      <c r="G17" s="356" t="s">
        <v>476</v>
      </c>
      <c r="H17" s="357"/>
      <c r="I17" s="358">
        <f t="shared" si="0"/>
        <v>0</v>
      </c>
      <c r="K17" s="332"/>
      <c r="M17" s="335"/>
      <c r="N17" s="335"/>
    </row>
    <row r="18" spans="2:14" ht="12">
      <c r="B18" s="353">
        <v>10</v>
      </c>
      <c r="C18" s="354" t="s">
        <v>4552</v>
      </c>
      <c r="D18" s="359" t="s">
        <v>4553</v>
      </c>
      <c r="E18" s="354" t="s">
        <v>4554</v>
      </c>
      <c r="F18" s="355">
        <v>1</v>
      </c>
      <c r="G18" s="356" t="s">
        <v>4539</v>
      </c>
      <c r="H18" s="357"/>
      <c r="I18" s="358">
        <f t="shared" si="0"/>
        <v>0</v>
      </c>
      <c r="K18" s="332"/>
      <c r="M18" s="335"/>
      <c r="N18" s="335"/>
    </row>
    <row r="19" spans="2:14" ht="12">
      <c r="B19" s="353">
        <v>11</v>
      </c>
      <c r="C19" s="354" t="s">
        <v>4555</v>
      </c>
      <c r="D19" s="359" t="s">
        <v>4556</v>
      </c>
      <c r="E19" s="354" t="s">
        <v>4557</v>
      </c>
      <c r="F19" s="355">
        <v>80</v>
      </c>
      <c r="G19" s="356" t="s">
        <v>4539</v>
      </c>
      <c r="H19" s="357"/>
      <c r="I19" s="358">
        <f t="shared" si="0"/>
        <v>0</v>
      </c>
      <c r="K19" s="332"/>
      <c r="M19" s="335"/>
      <c r="N19" s="335"/>
    </row>
    <row r="20" spans="2:14" ht="12">
      <c r="B20" s="353">
        <v>12</v>
      </c>
      <c r="C20" s="354" t="s">
        <v>4558</v>
      </c>
      <c r="D20" s="359" t="s">
        <v>4559</v>
      </c>
      <c r="E20" s="354" t="s">
        <v>4560</v>
      </c>
      <c r="F20" s="355">
        <v>20</v>
      </c>
      <c r="G20" s="356" t="s">
        <v>4539</v>
      </c>
      <c r="H20" s="357"/>
      <c r="I20" s="358">
        <f t="shared" si="0"/>
        <v>0</v>
      </c>
      <c r="K20" s="332"/>
      <c r="M20" s="335"/>
      <c r="N20" s="335"/>
    </row>
    <row r="21" spans="2:14" ht="12">
      <c r="B21" s="353">
        <v>13</v>
      </c>
      <c r="C21" s="354" t="s">
        <v>4561</v>
      </c>
      <c r="D21" s="359" t="s">
        <v>4562</v>
      </c>
      <c r="E21" s="354" t="s">
        <v>4557</v>
      </c>
      <c r="F21" s="355">
        <v>100</v>
      </c>
      <c r="G21" s="356" t="s">
        <v>4539</v>
      </c>
      <c r="H21" s="357"/>
      <c r="I21" s="358">
        <f t="shared" si="0"/>
        <v>0</v>
      </c>
      <c r="K21" s="332"/>
      <c r="M21" s="335"/>
      <c r="N21" s="335"/>
    </row>
    <row r="22" spans="2:14" ht="12">
      <c r="B22" s="353">
        <v>14</v>
      </c>
      <c r="C22" s="354" t="s">
        <v>4563</v>
      </c>
      <c r="D22" s="354" t="s">
        <v>4564</v>
      </c>
      <c r="E22" s="354" t="s">
        <v>4557</v>
      </c>
      <c r="F22" s="355">
        <v>60</v>
      </c>
      <c r="G22" s="356" t="s">
        <v>476</v>
      </c>
      <c r="H22" s="357"/>
      <c r="I22" s="358">
        <f t="shared" si="0"/>
        <v>0</v>
      </c>
      <c r="K22" s="332"/>
      <c r="M22" s="335"/>
      <c r="N22" s="335"/>
    </row>
    <row r="23" spans="2:14" ht="12">
      <c r="B23" s="353">
        <v>15</v>
      </c>
      <c r="C23" s="354" t="s">
        <v>4565</v>
      </c>
      <c r="D23" s="354" t="s">
        <v>4566</v>
      </c>
      <c r="E23" s="354" t="s">
        <v>4557</v>
      </c>
      <c r="F23" s="355">
        <v>30</v>
      </c>
      <c r="G23" s="356" t="s">
        <v>4539</v>
      </c>
      <c r="H23" s="357"/>
      <c r="I23" s="358">
        <f t="shared" si="0"/>
        <v>0</v>
      </c>
      <c r="K23" s="332"/>
      <c r="M23" s="335"/>
      <c r="N23" s="335"/>
    </row>
    <row r="24" spans="2:14" ht="12">
      <c r="B24" s="353">
        <v>16</v>
      </c>
      <c r="C24" s="354" t="s">
        <v>4567</v>
      </c>
      <c r="D24" s="354" t="s">
        <v>4568</v>
      </c>
      <c r="E24" s="354" t="s">
        <v>4569</v>
      </c>
      <c r="F24" s="355">
        <v>2</v>
      </c>
      <c r="G24" s="356" t="s">
        <v>4539</v>
      </c>
      <c r="H24" s="357"/>
      <c r="I24" s="358">
        <f t="shared" si="0"/>
        <v>0</v>
      </c>
      <c r="K24" s="332"/>
      <c r="M24" s="335"/>
      <c r="N24" s="335"/>
    </row>
    <row r="25" spans="2:14" ht="12">
      <c r="B25" s="353">
        <v>17</v>
      </c>
      <c r="C25" s="354" t="s">
        <v>4570</v>
      </c>
      <c r="D25" s="354" t="s">
        <v>4571</v>
      </c>
      <c r="E25" s="354" t="s">
        <v>4557</v>
      </c>
      <c r="F25" s="355">
        <v>70</v>
      </c>
      <c r="G25" s="356" t="s">
        <v>4539</v>
      </c>
      <c r="H25" s="357"/>
      <c r="I25" s="358">
        <f t="shared" si="0"/>
        <v>0</v>
      </c>
      <c r="K25" s="332"/>
      <c r="M25" s="335"/>
      <c r="N25" s="335"/>
    </row>
    <row r="26" spans="2:14" ht="12">
      <c r="B26" s="353">
        <v>18</v>
      </c>
      <c r="C26" s="354" t="s">
        <v>4572</v>
      </c>
      <c r="D26" s="354" t="s">
        <v>4573</v>
      </c>
      <c r="E26" s="354" t="s">
        <v>4557</v>
      </c>
      <c r="F26" s="355">
        <v>16</v>
      </c>
      <c r="G26" s="356" t="s">
        <v>4539</v>
      </c>
      <c r="H26" s="357"/>
      <c r="I26" s="358">
        <f t="shared" si="0"/>
        <v>0</v>
      </c>
      <c r="K26" s="332"/>
      <c r="M26" s="335"/>
      <c r="N26" s="335"/>
    </row>
    <row r="27" spans="2:14" ht="12">
      <c r="B27" s="353">
        <v>19</v>
      </c>
      <c r="C27" s="354" t="s">
        <v>4574</v>
      </c>
      <c r="D27" s="354" t="s">
        <v>4575</v>
      </c>
      <c r="E27" s="354" t="s">
        <v>4576</v>
      </c>
      <c r="F27" s="355">
        <v>21</v>
      </c>
      <c r="G27" s="356" t="s">
        <v>4539</v>
      </c>
      <c r="H27" s="357"/>
      <c r="I27" s="358">
        <f t="shared" si="0"/>
        <v>0</v>
      </c>
      <c r="K27" s="332"/>
      <c r="M27" s="335"/>
      <c r="N27" s="335"/>
    </row>
    <row r="28" spans="2:14" ht="12">
      <c r="B28" s="353">
        <v>20</v>
      </c>
      <c r="C28" s="354" t="s">
        <v>4577</v>
      </c>
      <c r="D28" s="354" t="s">
        <v>4578</v>
      </c>
      <c r="E28" s="354" t="s">
        <v>4576</v>
      </c>
      <c r="F28" s="355">
        <v>7</v>
      </c>
      <c r="G28" s="356" t="s">
        <v>4539</v>
      </c>
      <c r="H28" s="357"/>
      <c r="I28" s="358">
        <f t="shared" si="0"/>
        <v>0</v>
      </c>
      <c r="K28" s="332"/>
      <c r="M28" s="335"/>
      <c r="N28" s="335"/>
    </row>
    <row r="29" spans="2:14" ht="12">
      <c r="B29" s="353">
        <v>21</v>
      </c>
      <c r="C29" s="354" t="s">
        <v>4579</v>
      </c>
      <c r="D29" s="354" t="s">
        <v>4580</v>
      </c>
      <c r="E29" s="354" t="s">
        <v>4576</v>
      </c>
      <c r="F29" s="355">
        <v>10</v>
      </c>
      <c r="G29" s="356" t="s">
        <v>4539</v>
      </c>
      <c r="H29" s="357"/>
      <c r="I29" s="358">
        <f t="shared" si="0"/>
        <v>0</v>
      </c>
      <c r="K29" s="332"/>
      <c r="M29" s="335"/>
      <c r="N29" s="335"/>
    </row>
    <row r="30" spans="2:14" ht="12">
      <c r="B30" s="353">
        <v>22</v>
      </c>
      <c r="C30" s="354" t="s">
        <v>4581</v>
      </c>
      <c r="D30" s="354" t="s">
        <v>4582</v>
      </c>
      <c r="E30" s="354" t="s">
        <v>4576</v>
      </c>
      <c r="F30" s="355">
        <v>2</v>
      </c>
      <c r="G30" s="356" t="s">
        <v>4539</v>
      </c>
      <c r="H30" s="357"/>
      <c r="I30" s="358">
        <f t="shared" si="0"/>
        <v>0</v>
      </c>
      <c r="K30" s="332"/>
      <c r="M30" s="335"/>
      <c r="N30" s="335"/>
    </row>
    <row r="31" spans="2:14" ht="12">
      <c r="B31" s="353">
        <v>23</v>
      </c>
      <c r="C31" s="354" t="s">
        <v>4583</v>
      </c>
      <c r="D31" s="354" t="s">
        <v>4584</v>
      </c>
      <c r="E31" s="354" t="s">
        <v>4576</v>
      </c>
      <c r="F31" s="355">
        <v>6</v>
      </c>
      <c r="G31" s="356" t="s">
        <v>4539</v>
      </c>
      <c r="H31" s="357"/>
      <c r="I31" s="358">
        <f t="shared" si="0"/>
        <v>0</v>
      </c>
      <c r="K31" s="332"/>
      <c r="M31" s="335"/>
      <c r="N31" s="335"/>
    </row>
    <row r="32" spans="2:14" ht="12">
      <c r="B32" s="353">
        <v>23</v>
      </c>
      <c r="C32" s="354" t="s">
        <v>4585</v>
      </c>
      <c r="D32" s="354" t="s">
        <v>4586</v>
      </c>
      <c r="E32" s="354" t="s">
        <v>4576</v>
      </c>
      <c r="F32" s="355">
        <v>1</v>
      </c>
      <c r="G32" s="356" t="s">
        <v>4539</v>
      </c>
      <c r="H32" s="357"/>
      <c r="I32" s="358">
        <f t="shared" si="0"/>
        <v>0</v>
      </c>
      <c r="K32" s="332"/>
      <c r="M32" s="335"/>
      <c r="N32" s="335"/>
    </row>
    <row r="33" spans="2:14" ht="12">
      <c r="B33" s="353">
        <v>24</v>
      </c>
      <c r="C33" s="354" t="s">
        <v>4587</v>
      </c>
      <c r="D33" s="354" t="s">
        <v>4588</v>
      </c>
      <c r="E33" s="354" t="s">
        <v>4576</v>
      </c>
      <c r="F33" s="355">
        <v>2</v>
      </c>
      <c r="G33" s="356" t="s">
        <v>4539</v>
      </c>
      <c r="H33" s="357"/>
      <c r="I33" s="358">
        <f t="shared" si="0"/>
        <v>0</v>
      </c>
      <c r="K33" s="332"/>
      <c r="M33" s="335"/>
      <c r="N33" s="335"/>
    </row>
    <row r="34" spans="2:14" ht="12">
      <c r="B34" s="353">
        <v>25</v>
      </c>
      <c r="C34" s="354" t="s">
        <v>4589</v>
      </c>
      <c r="D34" s="354" t="s">
        <v>4590</v>
      </c>
      <c r="E34" s="354" t="s">
        <v>4591</v>
      </c>
      <c r="F34" s="355">
        <v>8</v>
      </c>
      <c r="G34" s="356" t="s">
        <v>4539</v>
      </c>
      <c r="H34" s="357"/>
      <c r="I34" s="358">
        <f t="shared" si="0"/>
        <v>0</v>
      </c>
      <c r="K34" s="332"/>
      <c r="M34" s="335"/>
      <c r="N34" s="335"/>
    </row>
    <row r="35" spans="2:14" ht="12">
      <c r="B35" s="353">
        <v>26</v>
      </c>
      <c r="C35" s="354" t="s">
        <v>4592</v>
      </c>
      <c r="D35" s="354" t="s">
        <v>4593</v>
      </c>
      <c r="E35" s="354" t="s">
        <v>4591</v>
      </c>
      <c r="F35" s="355">
        <v>71</v>
      </c>
      <c r="G35" s="356" t="s">
        <v>4539</v>
      </c>
      <c r="H35" s="357"/>
      <c r="I35" s="358">
        <f t="shared" si="0"/>
        <v>0</v>
      </c>
      <c r="K35" s="332"/>
      <c r="M35" s="335"/>
      <c r="N35" s="335"/>
    </row>
    <row r="36" spans="2:14" ht="12">
      <c r="B36" s="353">
        <v>27</v>
      </c>
      <c r="C36" s="354" t="s">
        <v>4594</v>
      </c>
      <c r="D36" s="354" t="s">
        <v>4595</v>
      </c>
      <c r="E36" s="354" t="s">
        <v>4591</v>
      </c>
      <c r="F36" s="355">
        <v>13</v>
      </c>
      <c r="G36" s="356" t="s">
        <v>4539</v>
      </c>
      <c r="H36" s="357"/>
      <c r="I36" s="358">
        <f t="shared" si="0"/>
        <v>0</v>
      </c>
      <c r="K36" s="332"/>
      <c r="M36" s="335"/>
      <c r="N36" s="335"/>
    </row>
    <row r="37" spans="2:14" ht="12">
      <c r="B37" s="353">
        <v>28</v>
      </c>
      <c r="C37" s="354" t="s">
        <v>4596</v>
      </c>
      <c r="D37" s="354" t="s">
        <v>4597</v>
      </c>
      <c r="E37" s="354" t="s">
        <v>4591</v>
      </c>
      <c r="F37" s="355">
        <v>8</v>
      </c>
      <c r="G37" s="356" t="s">
        <v>4539</v>
      </c>
      <c r="H37" s="357"/>
      <c r="I37" s="358">
        <f t="shared" si="0"/>
        <v>0</v>
      </c>
      <c r="K37" s="332"/>
      <c r="M37" s="335" t="s">
        <v>4598</v>
      </c>
      <c r="N37" s="335"/>
    </row>
    <row r="38" spans="2:14" ht="12">
      <c r="B38" s="353">
        <v>29</v>
      </c>
      <c r="C38" s="354" t="s">
        <v>4599</v>
      </c>
      <c r="D38" s="354" t="s">
        <v>4600</v>
      </c>
      <c r="E38" s="354" t="s">
        <v>4601</v>
      </c>
      <c r="F38" s="355">
        <v>19</v>
      </c>
      <c r="G38" s="356" t="s">
        <v>4539</v>
      </c>
      <c r="H38" s="357"/>
      <c r="I38" s="358">
        <f t="shared" si="0"/>
        <v>0</v>
      </c>
      <c r="K38" s="332"/>
      <c r="M38" s="335"/>
      <c r="N38" s="335"/>
    </row>
    <row r="39" spans="2:14" ht="12">
      <c r="B39" s="353">
        <v>30</v>
      </c>
      <c r="C39" s="354" t="s">
        <v>4602</v>
      </c>
      <c r="D39" s="354" t="s">
        <v>4603</v>
      </c>
      <c r="E39" s="354" t="s">
        <v>4604</v>
      </c>
      <c r="F39" s="355">
        <v>16</v>
      </c>
      <c r="G39" s="356" t="s">
        <v>4539</v>
      </c>
      <c r="H39" s="357"/>
      <c r="I39" s="358">
        <f t="shared" si="0"/>
        <v>0</v>
      </c>
      <c r="K39" s="332"/>
      <c r="M39" s="335"/>
      <c r="N39" s="335"/>
    </row>
    <row r="40" spans="2:14" ht="12">
      <c r="B40" s="353">
        <v>31</v>
      </c>
      <c r="C40" s="354" t="s">
        <v>4605</v>
      </c>
      <c r="D40" s="354" t="s">
        <v>4606</v>
      </c>
      <c r="E40" s="354"/>
      <c r="F40" s="355">
        <v>2500</v>
      </c>
      <c r="G40" s="356" t="s">
        <v>4539</v>
      </c>
      <c r="H40" s="357"/>
      <c r="I40" s="358">
        <f t="shared" si="0"/>
        <v>0</v>
      </c>
      <c r="K40" s="332"/>
      <c r="M40" s="335"/>
      <c r="N40" s="335"/>
    </row>
    <row r="41" spans="2:14" ht="12">
      <c r="B41" s="353">
        <v>32</v>
      </c>
      <c r="C41" s="354" t="s">
        <v>4607</v>
      </c>
      <c r="D41" s="354" t="s">
        <v>4608</v>
      </c>
      <c r="E41" s="354" t="s">
        <v>4609</v>
      </c>
      <c r="F41" s="355">
        <v>460</v>
      </c>
      <c r="G41" s="356" t="s">
        <v>4539</v>
      </c>
      <c r="H41" s="357"/>
      <c r="I41" s="358">
        <f t="shared" si="0"/>
        <v>0</v>
      </c>
      <c r="K41" s="332"/>
      <c r="M41" s="335"/>
      <c r="N41" s="335"/>
    </row>
    <row r="42" spans="2:14" ht="12">
      <c r="B42" s="353">
        <v>33</v>
      </c>
      <c r="C42" s="354" t="s">
        <v>4610</v>
      </c>
      <c r="D42" s="354" t="s">
        <v>4611</v>
      </c>
      <c r="E42" s="354"/>
      <c r="F42" s="355">
        <v>5</v>
      </c>
      <c r="G42" s="356" t="s">
        <v>1628</v>
      </c>
      <c r="H42" s="357"/>
      <c r="I42" s="358">
        <f t="shared" si="0"/>
        <v>0</v>
      </c>
      <c r="K42" s="332"/>
      <c r="M42" s="335"/>
      <c r="N42" s="335"/>
    </row>
    <row r="43" spans="2:14" ht="12">
      <c r="B43" s="353">
        <v>34</v>
      </c>
      <c r="C43" s="360" t="s">
        <v>4612</v>
      </c>
      <c r="D43" s="360" t="s">
        <v>4613</v>
      </c>
      <c r="E43" s="360" t="s">
        <v>4614</v>
      </c>
      <c r="F43" s="360">
        <v>15</v>
      </c>
      <c r="G43" s="361" t="s">
        <v>476</v>
      </c>
      <c r="H43" s="362"/>
      <c r="I43" s="363">
        <f t="shared" si="0"/>
        <v>0</v>
      </c>
      <c r="K43" s="332"/>
      <c r="M43" s="335"/>
      <c r="N43" s="335"/>
    </row>
    <row r="44" spans="2:14" ht="12">
      <c r="B44" s="353">
        <v>35</v>
      </c>
      <c r="C44" s="354" t="s">
        <v>4615</v>
      </c>
      <c r="D44" s="354" t="s">
        <v>4616</v>
      </c>
      <c r="E44" s="354" t="s">
        <v>4614</v>
      </c>
      <c r="F44" s="354">
        <v>130</v>
      </c>
      <c r="G44" s="356" t="s">
        <v>476</v>
      </c>
      <c r="H44" s="357"/>
      <c r="I44" s="358">
        <f t="shared" si="0"/>
        <v>0</v>
      </c>
      <c r="K44" s="332"/>
      <c r="M44" s="335"/>
      <c r="N44" s="335"/>
    </row>
    <row r="45" spans="2:14" ht="12">
      <c r="B45" s="353">
        <v>36</v>
      </c>
      <c r="C45" s="354" t="s">
        <v>4617</v>
      </c>
      <c r="D45" s="354" t="s">
        <v>4618</v>
      </c>
      <c r="E45" s="354" t="s">
        <v>4614</v>
      </c>
      <c r="F45" s="354">
        <v>15</v>
      </c>
      <c r="G45" s="356" t="s">
        <v>476</v>
      </c>
      <c r="H45" s="357"/>
      <c r="I45" s="358">
        <f t="shared" si="0"/>
        <v>0</v>
      </c>
      <c r="K45" s="332"/>
      <c r="M45" s="335"/>
      <c r="N45" s="335"/>
    </row>
    <row r="46" spans="2:14" ht="12">
      <c r="B46" s="353">
        <v>37</v>
      </c>
      <c r="C46" s="354" t="s">
        <v>4619</v>
      </c>
      <c r="D46" s="354" t="s">
        <v>4620</v>
      </c>
      <c r="E46" s="354" t="s">
        <v>4614</v>
      </c>
      <c r="F46" s="354">
        <v>6</v>
      </c>
      <c r="G46" s="356" t="s">
        <v>4539</v>
      </c>
      <c r="H46" s="357"/>
      <c r="I46" s="358">
        <f t="shared" si="0"/>
        <v>0</v>
      </c>
      <c r="K46" s="332"/>
      <c r="M46" s="335"/>
      <c r="N46" s="335"/>
    </row>
    <row r="47" spans="2:14" ht="12">
      <c r="B47" s="353">
        <v>38</v>
      </c>
      <c r="C47" s="354" t="s">
        <v>4621</v>
      </c>
      <c r="D47" s="354" t="s">
        <v>4622</v>
      </c>
      <c r="E47" s="354" t="s">
        <v>4614</v>
      </c>
      <c r="F47" s="354">
        <v>6</v>
      </c>
      <c r="G47" s="356" t="s">
        <v>4539</v>
      </c>
      <c r="H47" s="357"/>
      <c r="I47" s="358">
        <f t="shared" si="0"/>
        <v>0</v>
      </c>
      <c r="K47" s="332"/>
      <c r="M47" s="335"/>
      <c r="N47" s="335"/>
    </row>
    <row r="48" spans="2:14" ht="12">
      <c r="B48" s="353">
        <v>39</v>
      </c>
      <c r="C48" s="354" t="s">
        <v>4623</v>
      </c>
      <c r="D48" s="354" t="s">
        <v>4624</v>
      </c>
      <c r="E48" s="354" t="s">
        <v>4614</v>
      </c>
      <c r="F48" s="354">
        <v>6</v>
      </c>
      <c r="G48" s="356" t="s">
        <v>4539</v>
      </c>
      <c r="H48" s="357"/>
      <c r="I48" s="358">
        <f t="shared" si="0"/>
        <v>0</v>
      </c>
      <c r="K48" s="332"/>
      <c r="M48" s="335"/>
      <c r="N48" s="335"/>
    </row>
    <row r="49" spans="2:14" ht="12">
      <c r="B49" s="353">
        <v>40</v>
      </c>
      <c r="C49" s="354" t="s">
        <v>4625</v>
      </c>
      <c r="D49" s="354" t="s">
        <v>4626</v>
      </c>
      <c r="E49" s="354" t="s">
        <v>4614</v>
      </c>
      <c r="F49" s="354">
        <v>6</v>
      </c>
      <c r="G49" s="356" t="s">
        <v>4539</v>
      </c>
      <c r="H49" s="357"/>
      <c r="I49" s="358">
        <f t="shared" si="0"/>
        <v>0</v>
      </c>
      <c r="K49" s="332"/>
      <c r="M49" s="335"/>
      <c r="N49" s="335"/>
    </row>
    <row r="50" spans="2:14" ht="12">
      <c r="B50" s="353">
        <v>41</v>
      </c>
      <c r="C50" s="354" t="s">
        <v>4627</v>
      </c>
      <c r="D50" s="354" t="s">
        <v>4628</v>
      </c>
      <c r="E50" s="354" t="s">
        <v>4614</v>
      </c>
      <c r="F50" s="354">
        <v>20</v>
      </c>
      <c r="G50" s="356" t="s">
        <v>4539</v>
      </c>
      <c r="H50" s="357"/>
      <c r="I50" s="358">
        <f t="shared" si="0"/>
        <v>0</v>
      </c>
      <c r="K50" s="332"/>
      <c r="M50" s="335"/>
      <c r="N50" s="335"/>
    </row>
    <row r="51" spans="2:14" ht="12">
      <c r="B51" s="353">
        <v>42</v>
      </c>
      <c r="C51" s="354" t="s">
        <v>4629</v>
      </c>
      <c r="D51" s="354" t="s">
        <v>4630</v>
      </c>
      <c r="E51" s="354" t="s">
        <v>4614</v>
      </c>
      <c r="F51" s="354">
        <v>100</v>
      </c>
      <c r="G51" s="356" t="s">
        <v>4539</v>
      </c>
      <c r="H51" s="357"/>
      <c r="I51" s="358">
        <f t="shared" si="0"/>
        <v>0</v>
      </c>
      <c r="K51" s="332"/>
      <c r="M51" s="335"/>
      <c r="N51" s="335"/>
    </row>
    <row r="52" spans="2:14" ht="12">
      <c r="B52" s="353">
        <v>43</v>
      </c>
      <c r="C52" s="354" t="s">
        <v>4631</v>
      </c>
      <c r="D52" s="354" t="s">
        <v>4632</v>
      </c>
      <c r="E52" s="354" t="s">
        <v>4614</v>
      </c>
      <c r="F52" s="354">
        <v>3</v>
      </c>
      <c r="G52" s="356" t="s">
        <v>4539</v>
      </c>
      <c r="H52" s="357"/>
      <c r="I52" s="358">
        <f t="shared" si="0"/>
        <v>0</v>
      </c>
      <c r="K52" s="332"/>
      <c r="M52" s="335"/>
      <c r="N52" s="335"/>
    </row>
    <row r="53" spans="2:14" ht="12">
      <c r="B53" s="353">
        <v>44</v>
      </c>
      <c r="C53" s="354" t="s">
        <v>4633</v>
      </c>
      <c r="D53" s="354" t="s">
        <v>4634</v>
      </c>
      <c r="E53" s="354" t="s">
        <v>4614</v>
      </c>
      <c r="F53" s="354">
        <v>6</v>
      </c>
      <c r="G53" s="356" t="s">
        <v>4539</v>
      </c>
      <c r="H53" s="357"/>
      <c r="I53" s="358">
        <f t="shared" si="0"/>
        <v>0</v>
      </c>
      <c r="K53" s="332"/>
      <c r="M53" s="335"/>
      <c r="N53" s="335"/>
    </row>
    <row r="54" spans="2:14" ht="12">
      <c r="B54" s="353">
        <v>45</v>
      </c>
      <c r="C54" s="354" t="s">
        <v>4635</v>
      </c>
      <c r="D54" s="354" t="s">
        <v>4636</v>
      </c>
      <c r="E54" s="354" t="s">
        <v>4614</v>
      </c>
      <c r="F54" s="354">
        <v>3</v>
      </c>
      <c r="G54" s="356" t="s">
        <v>4539</v>
      </c>
      <c r="H54" s="357"/>
      <c r="I54" s="358">
        <f t="shared" si="0"/>
        <v>0</v>
      </c>
      <c r="K54" s="332"/>
      <c r="M54" s="335"/>
      <c r="N54" s="335"/>
    </row>
    <row r="55" spans="2:14" ht="12">
      <c r="B55" s="353">
        <v>46</v>
      </c>
      <c r="C55" s="354" t="s">
        <v>4637</v>
      </c>
      <c r="D55" s="354" t="s">
        <v>4638</v>
      </c>
      <c r="E55" s="354" t="s">
        <v>4614</v>
      </c>
      <c r="F55" s="354">
        <v>1</v>
      </c>
      <c r="G55" s="356" t="s">
        <v>4539</v>
      </c>
      <c r="H55" s="357"/>
      <c r="I55" s="358">
        <f t="shared" si="0"/>
        <v>0</v>
      </c>
      <c r="K55" s="332"/>
      <c r="M55" s="335"/>
      <c r="N55" s="335"/>
    </row>
    <row r="56" spans="2:14" ht="12">
      <c r="B56" s="353">
        <v>47</v>
      </c>
      <c r="C56" s="354" t="s">
        <v>4639</v>
      </c>
      <c r="D56" s="354" t="s">
        <v>4640</v>
      </c>
      <c r="E56" s="354" t="s">
        <v>4614</v>
      </c>
      <c r="F56" s="354">
        <v>1</v>
      </c>
      <c r="G56" s="356" t="s">
        <v>4539</v>
      </c>
      <c r="H56" s="357"/>
      <c r="I56" s="358">
        <f t="shared" si="0"/>
        <v>0</v>
      </c>
      <c r="K56" s="332"/>
      <c r="M56" s="335"/>
      <c r="N56" s="335"/>
    </row>
    <row r="57" spans="2:14" ht="12">
      <c r="B57" s="353">
        <v>48</v>
      </c>
      <c r="C57" s="354" t="s">
        <v>4641</v>
      </c>
      <c r="D57" s="354" t="s">
        <v>4642</v>
      </c>
      <c r="E57" s="354" t="s">
        <v>4614</v>
      </c>
      <c r="F57" s="354">
        <v>3</v>
      </c>
      <c r="G57" s="356" t="s">
        <v>4539</v>
      </c>
      <c r="H57" s="357"/>
      <c r="I57" s="358">
        <f t="shared" si="0"/>
        <v>0</v>
      </c>
      <c r="K57" s="332"/>
      <c r="M57" s="335"/>
      <c r="N57" s="335"/>
    </row>
    <row r="58" spans="2:14" ht="12">
      <c r="B58" s="353">
        <v>49</v>
      </c>
      <c r="C58" s="354" t="s">
        <v>4643</v>
      </c>
      <c r="D58" s="354" t="s">
        <v>4644</v>
      </c>
      <c r="E58" s="354" t="s">
        <v>4614</v>
      </c>
      <c r="F58" s="354">
        <v>3</v>
      </c>
      <c r="G58" s="356" t="s">
        <v>4539</v>
      </c>
      <c r="H58" s="357"/>
      <c r="I58" s="358">
        <f t="shared" si="0"/>
        <v>0</v>
      </c>
      <c r="K58" s="332"/>
      <c r="M58" s="335"/>
      <c r="N58" s="335"/>
    </row>
    <row r="59" spans="2:14" ht="12">
      <c r="B59" s="353">
        <v>50</v>
      </c>
      <c r="C59" s="354" t="s">
        <v>4645</v>
      </c>
      <c r="D59" s="354"/>
      <c r="E59" s="354"/>
      <c r="F59" s="355">
        <v>1</v>
      </c>
      <c r="G59" s="356"/>
      <c r="H59" s="357"/>
      <c r="I59" s="358">
        <f t="shared" si="0"/>
        <v>0</v>
      </c>
      <c r="K59" s="332"/>
      <c r="M59" s="335"/>
      <c r="N59" s="335"/>
    </row>
    <row r="60" spans="2:14" ht="12">
      <c r="B60" s="353">
        <v>51</v>
      </c>
      <c r="C60" s="354" t="s">
        <v>4646</v>
      </c>
      <c r="D60" s="354"/>
      <c r="E60" s="354"/>
      <c r="F60" s="355">
        <v>1</v>
      </c>
      <c r="G60" s="356"/>
      <c r="H60" s="357"/>
      <c r="I60" s="358">
        <f t="shared" si="0"/>
        <v>0</v>
      </c>
      <c r="K60" s="332"/>
      <c r="M60" s="335"/>
      <c r="N60" s="335"/>
    </row>
    <row r="61" spans="2:14" ht="12">
      <c r="B61" s="353">
        <v>52</v>
      </c>
      <c r="C61" s="354" t="s">
        <v>4647</v>
      </c>
      <c r="D61" s="354"/>
      <c r="E61" s="354"/>
      <c r="F61" s="355">
        <v>320</v>
      </c>
      <c r="G61" s="356" t="s">
        <v>4648</v>
      </c>
      <c r="H61" s="357"/>
      <c r="I61" s="358">
        <f t="shared" si="0"/>
        <v>0</v>
      </c>
      <c r="K61" s="332"/>
      <c r="M61" s="335"/>
      <c r="N61" s="335"/>
    </row>
    <row r="62" spans="2:14" ht="12">
      <c r="B62" s="353">
        <v>53</v>
      </c>
      <c r="C62" s="354" t="s">
        <v>4649</v>
      </c>
      <c r="D62" s="354"/>
      <c r="E62" s="354"/>
      <c r="F62" s="355">
        <v>1</v>
      </c>
      <c r="G62" s="356"/>
      <c r="H62" s="357"/>
      <c r="I62" s="358">
        <f t="shared" si="0"/>
        <v>0</v>
      </c>
      <c r="K62" s="332"/>
      <c r="M62" s="335"/>
      <c r="N62" s="335"/>
    </row>
    <row r="63" spans="2:14" ht="12">
      <c r="B63" s="353">
        <v>54</v>
      </c>
      <c r="C63" s="354" t="s">
        <v>4650</v>
      </c>
      <c r="D63" s="354"/>
      <c r="E63" s="354"/>
      <c r="F63" s="355">
        <v>1</v>
      </c>
      <c r="G63" s="356"/>
      <c r="H63" s="357"/>
      <c r="I63" s="358">
        <f t="shared" si="0"/>
        <v>0</v>
      </c>
      <c r="K63" s="332"/>
      <c r="M63" s="335"/>
      <c r="N63" s="335"/>
    </row>
    <row r="64" spans="2:14" ht="13.5" thickBot="1">
      <c r="B64" s="364">
        <v>55</v>
      </c>
      <c r="C64" s="365" t="s">
        <v>4651</v>
      </c>
      <c r="D64" s="365"/>
      <c r="E64" s="366"/>
      <c r="F64" s="367">
        <v>1</v>
      </c>
      <c r="G64" s="368"/>
      <c r="H64" s="369"/>
      <c r="I64" s="370">
        <f t="shared" si="0"/>
        <v>0</v>
      </c>
      <c r="M64" s="335"/>
      <c r="N64" s="335"/>
    </row>
    <row r="65" spans="6:13" ht="13.5" thickBot="1">
      <c r="F65" s="339"/>
      <c r="H65" s="371" t="s">
        <v>4652</v>
      </c>
      <c r="I65" s="372">
        <f>SUM(I13:I64)</f>
        <v>0</v>
      </c>
      <c r="K65" s="332"/>
      <c r="M65" s="335"/>
    </row>
  </sheetData>
  <printOptions/>
  <pageMargins left="0.7086614173228347" right="0.7086614173228347" top="0.7874015748031497" bottom="0.7874015748031497" header="0.31496062992125984" footer="0.31496062992125984"/>
  <pageSetup fitToHeight="2" fitToWidth="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44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138</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3861</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ROUND(J93,2)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ROUND((SUM(BE93:BE445)),2)</f>
        <v>0</v>
      </c>
      <c r="I33" s="90">
        <v>0.21</v>
      </c>
      <c r="J33" s="89">
        <f>ROUND(((SUM(BE93:BE445))*I33),2)</f>
        <v>0</v>
      </c>
      <c r="L33" s="33"/>
    </row>
    <row r="34" spans="2:12" s="1" customFormat="1" ht="14.45" customHeight="1">
      <c r="B34" s="33"/>
      <c r="E34" s="28" t="s">
        <v>49</v>
      </c>
      <c r="F34" s="89">
        <f>ROUND((SUM(BF93:BF445)),2)</f>
        <v>0</v>
      </c>
      <c r="I34" s="90">
        <v>0.15</v>
      </c>
      <c r="J34" s="89">
        <f>ROUND(((SUM(BF93:BF445))*I34),2)</f>
        <v>0</v>
      </c>
      <c r="L34" s="33"/>
    </row>
    <row r="35" spans="2:12" s="1" customFormat="1" ht="14.45" customHeight="1" hidden="1">
      <c r="B35" s="33"/>
      <c r="E35" s="28" t="s">
        <v>50</v>
      </c>
      <c r="F35" s="89">
        <f>ROUND((SUM(BG93:BG445)),2)</f>
        <v>0</v>
      </c>
      <c r="I35" s="90">
        <v>0.21</v>
      </c>
      <c r="J35" s="89">
        <f>0</f>
        <v>0</v>
      </c>
      <c r="L35" s="33"/>
    </row>
    <row r="36" spans="2:12" s="1" customFormat="1" ht="14.45" customHeight="1" hidden="1">
      <c r="B36" s="33"/>
      <c r="E36" s="28" t="s">
        <v>51</v>
      </c>
      <c r="F36" s="89">
        <f>ROUND((SUM(BH93:BH445)),2)</f>
        <v>0</v>
      </c>
      <c r="I36" s="90">
        <v>0.15</v>
      </c>
      <c r="J36" s="89">
        <f>0</f>
        <v>0</v>
      </c>
      <c r="L36" s="33"/>
    </row>
    <row r="37" spans="2:12" s="1" customFormat="1" ht="14.45" customHeight="1" hidden="1">
      <c r="B37" s="33"/>
      <c r="E37" s="28" t="s">
        <v>52</v>
      </c>
      <c r="F37" s="89">
        <f>ROUND((SUM(BI93:BI445)),2)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SO 4 - ZTI</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J93</f>
        <v>0</v>
      </c>
      <c r="L59" s="33"/>
      <c r="AU59" s="18" t="s">
        <v>152</v>
      </c>
    </row>
    <row r="60" spans="2:12" s="8" customFormat="1" ht="24.95" customHeight="1">
      <c r="B60" s="100"/>
      <c r="D60" s="101" t="s">
        <v>153</v>
      </c>
      <c r="E60" s="102"/>
      <c r="F60" s="102"/>
      <c r="G60" s="102"/>
      <c r="H60" s="102"/>
      <c r="I60" s="102"/>
      <c r="J60" s="103">
        <f>J94</f>
        <v>0</v>
      </c>
      <c r="L60" s="100"/>
    </row>
    <row r="61" spans="2:12" s="9" customFormat="1" ht="19.9" customHeight="1">
      <c r="B61" s="104"/>
      <c r="D61" s="105" t="s">
        <v>2302</v>
      </c>
      <c r="E61" s="106"/>
      <c r="F61" s="106"/>
      <c r="G61" s="106"/>
      <c r="H61" s="106"/>
      <c r="I61" s="106"/>
      <c r="J61" s="107">
        <f>J95</f>
        <v>0</v>
      </c>
      <c r="L61" s="104"/>
    </row>
    <row r="62" spans="2:12" s="9" customFormat="1" ht="19.9" customHeight="1">
      <c r="B62" s="104"/>
      <c r="D62" s="105" t="s">
        <v>1568</v>
      </c>
      <c r="E62" s="106"/>
      <c r="F62" s="106"/>
      <c r="G62" s="106"/>
      <c r="H62" s="106"/>
      <c r="I62" s="106"/>
      <c r="J62" s="107">
        <f>J131</f>
        <v>0</v>
      </c>
      <c r="L62" s="104"/>
    </row>
    <row r="63" spans="2:12" s="9" customFormat="1" ht="19.9" customHeight="1">
      <c r="B63" s="104"/>
      <c r="D63" s="105" t="s">
        <v>3862</v>
      </c>
      <c r="E63" s="106"/>
      <c r="F63" s="106"/>
      <c r="G63" s="106"/>
      <c r="H63" s="106"/>
      <c r="I63" s="106"/>
      <c r="J63" s="107">
        <f>J137</f>
        <v>0</v>
      </c>
      <c r="L63" s="104"/>
    </row>
    <row r="64" spans="2:12" s="9" customFormat="1" ht="19.9" customHeight="1">
      <c r="B64" s="104"/>
      <c r="D64" s="105" t="s">
        <v>325</v>
      </c>
      <c r="E64" s="106"/>
      <c r="F64" s="106"/>
      <c r="G64" s="106"/>
      <c r="H64" s="106"/>
      <c r="I64" s="106"/>
      <c r="J64" s="107">
        <f>J144</f>
        <v>0</v>
      </c>
      <c r="L64" s="104"/>
    </row>
    <row r="65" spans="2:12" s="9" customFormat="1" ht="19.9" customHeight="1">
      <c r="B65" s="104"/>
      <c r="D65" s="105" t="s">
        <v>326</v>
      </c>
      <c r="E65" s="106"/>
      <c r="F65" s="106"/>
      <c r="G65" s="106"/>
      <c r="H65" s="106"/>
      <c r="I65" s="106"/>
      <c r="J65" s="107">
        <f>J153</f>
        <v>0</v>
      </c>
      <c r="L65" s="104"/>
    </row>
    <row r="66" spans="2:12" s="8" customFormat="1" ht="24.95" customHeight="1">
      <c r="B66" s="100"/>
      <c r="D66" s="101" t="s">
        <v>155</v>
      </c>
      <c r="E66" s="102"/>
      <c r="F66" s="102"/>
      <c r="G66" s="102"/>
      <c r="H66" s="102"/>
      <c r="I66" s="102"/>
      <c r="J66" s="103">
        <f>J158</f>
        <v>0</v>
      </c>
      <c r="L66" s="100"/>
    </row>
    <row r="67" spans="2:12" s="9" customFormat="1" ht="19.9" customHeight="1">
      <c r="B67" s="104"/>
      <c r="D67" s="105" t="s">
        <v>156</v>
      </c>
      <c r="E67" s="106"/>
      <c r="F67" s="106"/>
      <c r="G67" s="106"/>
      <c r="H67" s="106"/>
      <c r="I67" s="106"/>
      <c r="J67" s="107">
        <f>J159</f>
        <v>0</v>
      </c>
      <c r="L67" s="104"/>
    </row>
    <row r="68" spans="2:12" s="9" customFormat="1" ht="19.9" customHeight="1">
      <c r="B68" s="104"/>
      <c r="D68" s="105" t="s">
        <v>157</v>
      </c>
      <c r="E68" s="106"/>
      <c r="F68" s="106"/>
      <c r="G68" s="106"/>
      <c r="H68" s="106"/>
      <c r="I68" s="106"/>
      <c r="J68" s="107">
        <f>J247</f>
        <v>0</v>
      </c>
      <c r="L68" s="104"/>
    </row>
    <row r="69" spans="2:12" s="9" customFormat="1" ht="19.9" customHeight="1">
      <c r="B69" s="104"/>
      <c r="D69" s="105" t="s">
        <v>158</v>
      </c>
      <c r="E69" s="106"/>
      <c r="F69" s="106"/>
      <c r="G69" s="106"/>
      <c r="H69" s="106"/>
      <c r="I69" s="106"/>
      <c r="J69" s="107">
        <f>J327</f>
        <v>0</v>
      </c>
      <c r="L69" s="104"/>
    </row>
    <row r="70" spans="2:12" s="9" customFormat="1" ht="19.9" customHeight="1">
      <c r="B70" s="104"/>
      <c r="D70" s="105" t="s">
        <v>3863</v>
      </c>
      <c r="E70" s="106"/>
      <c r="F70" s="106"/>
      <c r="G70" s="106"/>
      <c r="H70" s="106"/>
      <c r="I70" s="106"/>
      <c r="J70" s="107">
        <f>J404</f>
        <v>0</v>
      </c>
      <c r="L70" s="104"/>
    </row>
    <row r="71" spans="2:12" s="9" customFormat="1" ht="19.9" customHeight="1">
      <c r="B71" s="104"/>
      <c r="D71" s="105" t="s">
        <v>3864</v>
      </c>
      <c r="E71" s="106"/>
      <c r="F71" s="106"/>
      <c r="G71" s="106"/>
      <c r="H71" s="106"/>
      <c r="I71" s="106"/>
      <c r="J71" s="107">
        <f>J425</f>
        <v>0</v>
      </c>
      <c r="L71" s="104"/>
    </row>
    <row r="72" spans="2:12" s="9" customFormat="1" ht="19.9" customHeight="1">
      <c r="B72" s="104"/>
      <c r="D72" s="105" t="s">
        <v>3865</v>
      </c>
      <c r="E72" s="106"/>
      <c r="F72" s="106"/>
      <c r="G72" s="106"/>
      <c r="H72" s="106"/>
      <c r="I72" s="106"/>
      <c r="J72" s="107">
        <f>J428</f>
        <v>0</v>
      </c>
      <c r="L72" s="104"/>
    </row>
    <row r="73" spans="2:12" s="8" customFormat="1" ht="24.95" customHeight="1">
      <c r="B73" s="100"/>
      <c r="D73" s="101" t="s">
        <v>161</v>
      </c>
      <c r="E73" s="102"/>
      <c r="F73" s="102"/>
      <c r="G73" s="102"/>
      <c r="H73" s="102"/>
      <c r="I73" s="102"/>
      <c r="J73" s="103">
        <f>J440</f>
        <v>0</v>
      </c>
      <c r="L73" s="100"/>
    </row>
    <row r="74" spans="2:12" s="1" customFormat="1" ht="21.75" customHeight="1">
      <c r="B74" s="33"/>
      <c r="L74" s="33"/>
    </row>
    <row r="75" spans="2:12" s="1" customFormat="1" ht="6.95" customHeight="1">
      <c r="B75" s="42"/>
      <c r="C75" s="43"/>
      <c r="D75" s="43"/>
      <c r="E75" s="43"/>
      <c r="F75" s="43"/>
      <c r="G75" s="43"/>
      <c r="H75" s="43"/>
      <c r="I75" s="43"/>
      <c r="J75" s="43"/>
      <c r="K75" s="43"/>
      <c r="L75" s="33"/>
    </row>
    <row r="79" spans="2:12" s="1" customFormat="1" ht="6.95" customHeight="1">
      <c r="B79" s="44"/>
      <c r="C79" s="45"/>
      <c r="D79" s="45"/>
      <c r="E79" s="45"/>
      <c r="F79" s="45"/>
      <c r="G79" s="45"/>
      <c r="H79" s="45"/>
      <c r="I79" s="45"/>
      <c r="J79" s="45"/>
      <c r="K79" s="45"/>
      <c r="L79" s="33"/>
    </row>
    <row r="80" spans="2:12" s="1" customFormat="1" ht="24.95" customHeight="1">
      <c r="B80" s="33"/>
      <c r="C80" s="22" t="s">
        <v>162</v>
      </c>
      <c r="L80" s="33"/>
    </row>
    <row r="81" spans="2:12" s="1" customFormat="1" ht="6.95" customHeight="1">
      <c r="B81" s="33"/>
      <c r="L81" s="33"/>
    </row>
    <row r="82" spans="2:12" s="1" customFormat="1" ht="12" customHeight="1">
      <c r="B82" s="33"/>
      <c r="C82" s="28" t="s">
        <v>17</v>
      </c>
      <c r="L82" s="33"/>
    </row>
    <row r="83" spans="2:12" s="1" customFormat="1" ht="16.5" customHeight="1">
      <c r="B83" s="33"/>
      <c r="E83" s="315" t="str">
        <f>E7</f>
        <v>ZŠ P. HOLÉHO - PŘESTAVBA PLAVECKÉHO PAVILONU</v>
      </c>
      <c r="F83" s="316"/>
      <c r="G83" s="316"/>
      <c r="H83" s="316"/>
      <c r="L83" s="33"/>
    </row>
    <row r="84" spans="2:12" s="1" customFormat="1" ht="12" customHeight="1">
      <c r="B84" s="33"/>
      <c r="C84" s="28" t="s">
        <v>146</v>
      </c>
      <c r="L84" s="33"/>
    </row>
    <row r="85" spans="2:12" s="1" customFormat="1" ht="16.5" customHeight="1">
      <c r="B85" s="33"/>
      <c r="E85" s="281" t="str">
        <f>E9</f>
        <v>SO 4 - ZTI</v>
      </c>
      <c r="F85" s="317"/>
      <c r="G85" s="317"/>
      <c r="H85" s="317"/>
      <c r="L85" s="33"/>
    </row>
    <row r="86" spans="2:12" s="1" customFormat="1" ht="6.95" customHeight="1">
      <c r="B86" s="33"/>
      <c r="L86" s="33"/>
    </row>
    <row r="87" spans="2:12" s="1" customFormat="1" ht="12" customHeight="1">
      <c r="B87" s="33"/>
      <c r="C87" s="28" t="s">
        <v>21</v>
      </c>
      <c r="F87" s="26" t="str">
        <f>F12</f>
        <v>Prokopa Holého 2632, Louny, 440 01</v>
      </c>
      <c r="I87" s="28" t="s">
        <v>23</v>
      </c>
      <c r="J87" s="50" t="str">
        <f>IF(J12="","",J12)</f>
        <v>21. 9. 2022</v>
      </c>
      <c r="L87" s="33"/>
    </row>
    <row r="88" spans="2:12" s="1" customFormat="1" ht="6.95" customHeight="1">
      <c r="B88" s="33"/>
      <c r="L88" s="33"/>
    </row>
    <row r="89" spans="2:12" s="1" customFormat="1" ht="15.2" customHeight="1">
      <c r="B89" s="33"/>
      <c r="C89" s="28" t="s">
        <v>25</v>
      </c>
      <c r="F89" s="26" t="str">
        <f>E15</f>
        <v>Město Louny</v>
      </c>
      <c r="I89" s="28" t="s">
        <v>32</v>
      </c>
      <c r="J89" s="31" t="str">
        <f>E21</f>
        <v>RYSIK Design s.r.o.</v>
      </c>
      <c r="L89" s="33"/>
    </row>
    <row r="90" spans="2:12" s="1" customFormat="1" ht="25.7" customHeight="1">
      <c r="B90" s="33"/>
      <c r="C90" s="28" t="s">
        <v>30</v>
      </c>
      <c r="F90" s="26" t="str">
        <f>IF(E18="","",E18)</f>
        <v>Vyplň údaj</v>
      </c>
      <c r="I90" s="28" t="s">
        <v>37</v>
      </c>
      <c r="J90" s="31" t="str">
        <f>E24</f>
        <v>ing. Kateřina Tumpachová</v>
      </c>
      <c r="L90" s="33"/>
    </row>
    <row r="91" spans="2:12" s="1" customFormat="1" ht="10.35" customHeight="1">
      <c r="B91" s="33"/>
      <c r="L91" s="33"/>
    </row>
    <row r="92" spans="2:20" s="10" customFormat="1" ht="29.25" customHeight="1">
      <c r="B92" s="108"/>
      <c r="C92" s="109" t="s">
        <v>163</v>
      </c>
      <c r="D92" s="110" t="s">
        <v>62</v>
      </c>
      <c r="E92" s="110" t="s">
        <v>58</v>
      </c>
      <c r="F92" s="110" t="s">
        <v>59</v>
      </c>
      <c r="G92" s="110" t="s">
        <v>164</v>
      </c>
      <c r="H92" s="110" t="s">
        <v>165</v>
      </c>
      <c r="I92" s="110" t="s">
        <v>166</v>
      </c>
      <c r="J92" s="110" t="s">
        <v>151</v>
      </c>
      <c r="K92" s="111" t="s">
        <v>167</v>
      </c>
      <c r="L92" s="108"/>
      <c r="M92" s="57" t="s">
        <v>3</v>
      </c>
      <c r="N92" s="58" t="s">
        <v>47</v>
      </c>
      <c r="O92" s="58" t="s">
        <v>168</v>
      </c>
      <c r="P92" s="58" t="s">
        <v>169</v>
      </c>
      <c r="Q92" s="58" t="s">
        <v>170</v>
      </c>
      <c r="R92" s="58" t="s">
        <v>171</v>
      </c>
      <c r="S92" s="58" t="s">
        <v>172</v>
      </c>
      <c r="T92" s="59" t="s">
        <v>173</v>
      </c>
    </row>
    <row r="93" spans="2:63" s="1" customFormat="1" ht="22.9" customHeight="1">
      <c r="B93" s="33"/>
      <c r="C93" s="62" t="s">
        <v>174</v>
      </c>
      <c r="J93" s="112">
        <f>BK93</f>
        <v>0</v>
      </c>
      <c r="L93" s="33"/>
      <c r="M93" s="60"/>
      <c r="N93" s="51"/>
      <c r="O93" s="51"/>
      <c r="P93" s="113">
        <f>P94+P158+P440</f>
        <v>0</v>
      </c>
      <c r="Q93" s="51"/>
      <c r="R93" s="113">
        <f>R94+R158+R440</f>
        <v>5.704148968400001</v>
      </c>
      <c r="S93" s="51"/>
      <c r="T93" s="114">
        <f>T94+T158+T440</f>
        <v>0.0018000000000000002</v>
      </c>
      <c r="AT93" s="18" t="s">
        <v>76</v>
      </c>
      <c r="AU93" s="18" t="s">
        <v>152</v>
      </c>
      <c r="BK93" s="115">
        <f>BK94+BK158+BK440</f>
        <v>0</v>
      </c>
    </row>
    <row r="94" spans="2:63" s="11" customFormat="1" ht="25.9" customHeight="1">
      <c r="B94" s="116"/>
      <c r="D94" s="117" t="s">
        <v>76</v>
      </c>
      <c r="E94" s="118" t="s">
        <v>175</v>
      </c>
      <c r="F94" s="118" t="s">
        <v>176</v>
      </c>
      <c r="I94" s="119"/>
      <c r="J94" s="120">
        <f>BK94</f>
        <v>0</v>
      </c>
      <c r="L94" s="116"/>
      <c r="M94" s="121"/>
      <c r="P94" s="122">
        <f>P95+P131+P137+P144+P153</f>
        <v>0</v>
      </c>
      <c r="R94" s="122">
        <f>R95+R131+R137+R144+R153</f>
        <v>4.3052308</v>
      </c>
      <c r="T94" s="123">
        <f>T95+T131+T137+T144+T153</f>
        <v>0</v>
      </c>
      <c r="AR94" s="117" t="s">
        <v>85</v>
      </c>
      <c r="AT94" s="124" t="s">
        <v>76</v>
      </c>
      <c r="AU94" s="124" t="s">
        <v>77</v>
      </c>
      <c r="AY94" s="117" t="s">
        <v>177</v>
      </c>
      <c r="BK94" s="125">
        <f>BK95+BK131+BK137+BK144+BK153</f>
        <v>0</v>
      </c>
    </row>
    <row r="95" spans="2:63" s="11" customFormat="1" ht="22.9" customHeight="1">
      <c r="B95" s="116"/>
      <c r="D95" s="117" t="s">
        <v>76</v>
      </c>
      <c r="E95" s="126" t="s">
        <v>85</v>
      </c>
      <c r="F95" s="126" t="s">
        <v>2304</v>
      </c>
      <c r="I95" s="119"/>
      <c r="J95" s="127">
        <f>BK95</f>
        <v>0</v>
      </c>
      <c r="L95" s="116"/>
      <c r="M95" s="121"/>
      <c r="P95" s="122">
        <f>SUM(P96:P130)</f>
        <v>0</v>
      </c>
      <c r="R95" s="122">
        <f>SUM(R96:R130)</f>
        <v>2.16</v>
      </c>
      <c r="T95" s="123">
        <f>SUM(T96:T130)</f>
        <v>0</v>
      </c>
      <c r="AR95" s="117" t="s">
        <v>85</v>
      </c>
      <c r="AT95" s="124" t="s">
        <v>76</v>
      </c>
      <c r="AU95" s="124" t="s">
        <v>85</v>
      </c>
      <c r="AY95" s="117" t="s">
        <v>177</v>
      </c>
      <c r="BK95" s="125">
        <f>SUM(BK96:BK130)</f>
        <v>0</v>
      </c>
    </row>
    <row r="96" spans="2:65" s="1" customFormat="1" ht="33" customHeight="1">
      <c r="B96" s="128"/>
      <c r="C96" s="129" t="s">
        <v>85</v>
      </c>
      <c r="D96" s="129" t="s">
        <v>180</v>
      </c>
      <c r="E96" s="130" t="s">
        <v>3866</v>
      </c>
      <c r="F96" s="131" t="s">
        <v>3867</v>
      </c>
      <c r="G96" s="132" t="s">
        <v>806</v>
      </c>
      <c r="H96" s="133">
        <v>18</v>
      </c>
      <c r="I96" s="134"/>
      <c r="J96" s="135">
        <f>ROUND(I96*H96,2)</f>
        <v>0</v>
      </c>
      <c r="K96" s="131" t="s">
        <v>184</v>
      </c>
      <c r="L96" s="33"/>
      <c r="M96" s="136" t="s">
        <v>3</v>
      </c>
      <c r="N96" s="137" t="s">
        <v>48</v>
      </c>
      <c r="P96" s="138">
        <f>O96*H96</f>
        <v>0</v>
      </c>
      <c r="Q96" s="138">
        <v>0</v>
      </c>
      <c r="R96" s="138">
        <f>Q96*H96</f>
        <v>0</v>
      </c>
      <c r="S96" s="138">
        <v>0</v>
      </c>
      <c r="T96" s="139">
        <f>S96*H96</f>
        <v>0</v>
      </c>
      <c r="AR96" s="140" t="s">
        <v>185</v>
      </c>
      <c r="AT96" s="140" t="s">
        <v>180</v>
      </c>
      <c r="AU96" s="140" t="s">
        <v>87</v>
      </c>
      <c r="AY96" s="18" t="s">
        <v>177</v>
      </c>
      <c r="BE96" s="141">
        <f>IF(N96="základní",J96,0)</f>
        <v>0</v>
      </c>
      <c r="BF96" s="141">
        <f>IF(N96="snížená",J96,0)</f>
        <v>0</v>
      </c>
      <c r="BG96" s="141">
        <f>IF(N96="zákl. přenesená",J96,0)</f>
        <v>0</v>
      </c>
      <c r="BH96" s="141">
        <f>IF(N96="sníž. přenesená",J96,0)</f>
        <v>0</v>
      </c>
      <c r="BI96" s="141">
        <f>IF(N96="nulová",J96,0)</f>
        <v>0</v>
      </c>
      <c r="BJ96" s="18" t="s">
        <v>85</v>
      </c>
      <c r="BK96" s="141">
        <f>ROUND(I96*H96,2)</f>
        <v>0</v>
      </c>
      <c r="BL96" s="18" t="s">
        <v>185</v>
      </c>
      <c r="BM96" s="140" t="s">
        <v>3868</v>
      </c>
    </row>
    <row r="97" spans="2:47" s="1" customFormat="1" ht="29.25">
      <c r="B97" s="33"/>
      <c r="D97" s="142" t="s">
        <v>187</v>
      </c>
      <c r="F97" s="143" t="s">
        <v>3869</v>
      </c>
      <c r="I97" s="144"/>
      <c r="L97" s="33"/>
      <c r="M97" s="145"/>
      <c r="T97" s="54"/>
      <c r="AT97" s="18" t="s">
        <v>187</v>
      </c>
      <c r="AU97" s="18" t="s">
        <v>87</v>
      </c>
    </row>
    <row r="98" spans="2:47" s="1" customFormat="1" ht="11.25">
      <c r="B98" s="33"/>
      <c r="D98" s="146" t="s">
        <v>189</v>
      </c>
      <c r="F98" s="147" t="s">
        <v>3870</v>
      </c>
      <c r="I98" s="144"/>
      <c r="L98" s="33"/>
      <c r="M98" s="145"/>
      <c r="T98" s="54"/>
      <c r="AT98" s="18" t="s">
        <v>189</v>
      </c>
      <c r="AU98" s="18" t="s">
        <v>87</v>
      </c>
    </row>
    <row r="99" spans="2:47" s="1" customFormat="1" ht="48.75">
      <c r="B99" s="33"/>
      <c r="D99" s="142" t="s">
        <v>191</v>
      </c>
      <c r="F99" s="148" t="s">
        <v>3871</v>
      </c>
      <c r="I99" s="144"/>
      <c r="L99" s="33"/>
      <c r="M99" s="145"/>
      <c r="T99" s="54"/>
      <c r="AT99" s="18" t="s">
        <v>191</v>
      </c>
      <c r="AU99" s="18" t="s">
        <v>87</v>
      </c>
    </row>
    <row r="100" spans="2:65" s="1" customFormat="1" ht="37.9" customHeight="1">
      <c r="B100" s="128"/>
      <c r="C100" s="129" t="s">
        <v>87</v>
      </c>
      <c r="D100" s="129" t="s">
        <v>180</v>
      </c>
      <c r="E100" s="130" t="s">
        <v>2327</v>
      </c>
      <c r="F100" s="131" t="s">
        <v>2328</v>
      </c>
      <c r="G100" s="132" t="s">
        <v>806</v>
      </c>
      <c r="H100" s="133">
        <v>2.2</v>
      </c>
      <c r="I100" s="134"/>
      <c r="J100" s="135">
        <f>ROUND(I100*H100,2)</f>
        <v>0</v>
      </c>
      <c r="K100" s="131" t="s">
        <v>184</v>
      </c>
      <c r="L100" s="33"/>
      <c r="M100" s="136" t="s">
        <v>3</v>
      </c>
      <c r="N100" s="137" t="s">
        <v>48</v>
      </c>
      <c r="P100" s="138">
        <f>O100*H100</f>
        <v>0</v>
      </c>
      <c r="Q100" s="138">
        <v>0</v>
      </c>
      <c r="R100" s="138">
        <f>Q100*H100</f>
        <v>0</v>
      </c>
      <c r="S100" s="138">
        <v>0</v>
      </c>
      <c r="T100" s="139">
        <f>S100*H100</f>
        <v>0</v>
      </c>
      <c r="AR100" s="140" t="s">
        <v>185</v>
      </c>
      <c r="AT100" s="140" t="s">
        <v>180</v>
      </c>
      <c r="AU100" s="140" t="s">
        <v>87</v>
      </c>
      <c r="AY100" s="18" t="s">
        <v>177</v>
      </c>
      <c r="BE100" s="141">
        <f>IF(N100="základní",J100,0)</f>
        <v>0</v>
      </c>
      <c r="BF100" s="141">
        <f>IF(N100="snížená",J100,0)</f>
        <v>0</v>
      </c>
      <c r="BG100" s="141">
        <f>IF(N100="zákl. přenesená",J100,0)</f>
        <v>0</v>
      </c>
      <c r="BH100" s="141">
        <f>IF(N100="sníž. přenesená",J100,0)</f>
        <v>0</v>
      </c>
      <c r="BI100" s="141">
        <f>IF(N100="nulová",J100,0)</f>
        <v>0</v>
      </c>
      <c r="BJ100" s="18" t="s">
        <v>85</v>
      </c>
      <c r="BK100" s="141">
        <f>ROUND(I100*H100,2)</f>
        <v>0</v>
      </c>
      <c r="BL100" s="18" t="s">
        <v>185</v>
      </c>
      <c r="BM100" s="140" t="s">
        <v>3872</v>
      </c>
    </row>
    <row r="101" spans="2:47" s="1" customFormat="1" ht="39">
      <c r="B101" s="33"/>
      <c r="D101" s="142" t="s">
        <v>187</v>
      </c>
      <c r="F101" s="143" t="s">
        <v>2330</v>
      </c>
      <c r="I101" s="144"/>
      <c r="L101" s="33"/>
      <c r="M101" s="145"/>
      <c r="T101" s="54"/>
      <c r="AT101" s="18" t="s">
        <v>187</v>
      </c>
      <c r="AU101" s="18" t="s">
        <v>87</v>
      </c>
    </row>
    <row r="102" spans="2:47" s="1" customFormat="1" ht="11.25">
      <c r="B102" s="33"/>
      <c r="D102" s="146" t="s">
        <v>189</v>
      </c>
      <c r="F102" s="147" t="s">
        <v>2331</v>
      </c>
      <c r="I102" s="144"/>
      <c r="L102" s="33"/>
      <c r="M102" s="145"/>
      <c r="T102" s="54"/>
      <c r="AT102" s="18" t="s">
        <v>189</v>
      </c>
      <c r="AU102" s="18" t="s">
        <v>87</v>
      </c>
    </row>
    <row r="103" spans="2:47" s="1" customFormat="1" ht="78">
      <c r="B103" s="33"/>
      <c r="D103" s="142" t="s">
        <v>191</v>
      </c>
      <c r="F103" s="148" t="s">
        <v>2332</v>
      </c>
      <c r="I103" s="144"/>
      <c r="L103" s="33"/>
      <c r="M103" s="145"/>
      <c r="T103" s="54"/>
      <c r="AT103" s="18" t="s">
        <v>191</v>
      </c>
      <c r="AU103" s="18" t="s">
        <v>87</v>
      </c>
    </row>
    <row r="104" spans="2:65" s="1" customFormat="1" ht="37.9" customHeight="1">
      <c r="B104" s="128"/>
      <c r="C104" s="129" t="s">
        <v>198</v>
      </c>
      <c r="D104" s="129" t="s">
        <v>180</v>
      </c>
      <c r="E104" s="130" t="s">
        <v>2333</v>
      </c>
      <c r="F104" s="131" t="s">
        <v>2334</v>
      </c>
      <c r="G104" s="132" t="s">
        <v>806</v>
      </c>
      <c r="H104" s="133">
        <v>11</v>
      </c>
      <c r="I104" s="134"/>
      <c r="J104" s="135">
        <f>ROUND(I104*H104,2)</f>
        <v>0</v>
      </c>
      <c r="K104" s="131" t="s">
        <v>184</v>
      </c>
      <c r="L104" s="33"/>
      <c r="M104" s="136" t="s">
        <v>3</v>
      </c>
      <c r="N104" s="137" t="s">
        <v>48</v>
      </c>
      <c r="P104" s="138">
        <f>O104*H104</f>
        <v>0</v>
      </c>
      <c r="Q104" s="138">
        <v>0</v>
      </c>
      <c r="R104" s="138">
        <f>Q104*H104</f>
        <v>0</v>
      </c>
      <c r="S104" s="138">
        <v>0</v>
      </c>
      <c r="T104" s="139">
        <f>S104*H104</f>
        <v>0</v>
      </c>
      <c r="AR104" s="140" t="s">
        <v>185</v>
      </c>
      <c r="AT104" s="140" t="s">
        <v>180</v>
      </c>
      <c r="AU104" s="140" t="s">
        <v>87</v>
      </c>
      <c r="AY104" s="18" t="s">
        <v>177</v>
      </c>
      <c r="BE104" s="141">
        <f>IF(N104="základní",J104,0)</f>
        <v>0</v>
      </c>
      <c r="BF104" s="141">
        <f>IF(N104="snížená",J104,0)</f>
        <v>0</v>
      </c>
      <c r="BG104" s="141">
        <f>IF(N104="zákl. přenesená",J104,0)</f>
        <v>0</v>
      </c>
      <c r="BH104" s="141">
        <f>IF(N104="sníž. přenesená",J104,0)</f>
        <v>0</v>
      </c>
      <c r="BI104" s="141">
        <f>IF(N104="nulová",J104,0)</f>
        <v>0</v>
      </c>
      <c r="BJ104" s="18" t="s">
        <v>85</v>
      </c>
      <c r="BK104" s="141">
        <f>ROUND(I104*H104,2)</f>
        <v>0</v>
      </c>
      <c r="BL104" s="18" t="s">
        <v>185</v>
      </c>
      <c r="BM104" s="140" t="s">
        <v>3873</v>
      </c>
    </row>
    <row r="105" spans="2:47" s="1" customFormat="1" ht="48.75">
      <c r="B105" s="33"/>
      <c r="D105" s="142" t="s">
        <v>187</v>
      </c>
      <c r="F105" s="143" t="s">
        <v>2336</v>
      </c>
      <c r="I105" s="144"/>
      <c r="L105" s="33"/>
      <c r="M105" s="145"/>
      <c r="T105" s="54"/>
      <c r="AT105" s="18" t="s">
        <v>187</v>
      </c>
      <c r="AU105" s="18" t="s">
        <v>87</v>
      </c>
    </row>
    <row r="106" spans="2:47" s="1" customFormat="1" ht="11.25">
      <c r="B106" s="33"/>
      <c r="D106" s="146" t="s">
        <v>189</v>
      </c>
      <c r="F106" s="147" t="s">
        <v>2337</v>
      </c>
      <c r="I106" s="144"/>
      <c r="L106" s="33"/>
      <c r="M106" s="145"/>
      <c r="T106" s="54"/>
      <c r="AT106" s="18" t="s">
        <v>189</v>
      </c>
      <c r="AU106" s="18" t="s">
        <v>87</v>
      </c>
    </row>
    <row r="107" spans="2:47" s="1" customFormat="1" ht="78">
      <c r="B107" s="33"/>
      <c r="D107" s="142" t="s">
        <v>191</v>
      </c>
      <c r="F107" s="148" t="s">
        <v>2332</v>
      </c>
      <c r="I107" s="144"/>
      <c r="L107" s="33"/>
      <c r="M107" s="145"/>
      <c r="T107" s="54"/>
      <c r="AT107" s="18" t="s">
        <v>191</v>
      </c>
      <c r="AU107" s="18" t="s">
        <v>87</v>
      </c>
    </row>
    <row r="108" spans="2:51" s="12" customFormat="1" ht="11.25">
      <c r="B108" s="149"/>
      <c r="D108" s="142" t="s">
        <v>193</v>
      </c>
      <c r="F108" s="151" t="s">
        <v>3874</v>
      </c>
      <c r="H108" s="152">
        <v>11</v>
      </c>
      <c r="I108" s="153"/>
      <c r="L108" s="149"/>
      <c r="M108" s="154"/>
      <c r="T108" s="155"/>
      <c r="AT108" s="150" t="s">
        <v>193</v>
      </c>
      <c r="AU108" s="150" t="s">
        <v>87</v>
      </c>
      <c r="AV108" s="12" t="s">
        <v>87</v>
      </c>
      <c r="AW108" s="12" t="s">
        <v>4</v>
      </c>
      <c r="AX108" s="12" t="s">
        <v>85</v>
      </c>
      <c r="AY108" s="150" t="s">
        <v>177</v>
      </c>
    </row>
    <row r="109" spans="2:65" s="1" customFormat="1" ht="33" customHeight="1">
      <c r="B109" s="128"/>
      <c r="C109" s="129" t="s">
        <v>185</v>
      </c>
      <c r="D109" s="129" t="s">
        <v>180</v>
      </c>
      <c r="E109" s="130" t="s">
        <v>2339</v>
      </c>
      <c r="F109" s="131" t="s">
        <v>2340</v>
      </c>
      <c r="G109" s="132" t="s">
        <v>183</v>
      </c>
      <c r="H109" s="133">
        <v>3.96</v>
      </c>
      <c r="I109" s="134"/>
      <c r="J109" s="135">
        <f>ROUND(I109*H109,2)</f>
        <v>0</v>
      </c>
      <c r="K109" s="131" t="s">
        <v>184</v>
      </c>
      <c r="L109" s="33"/>
      <c r="M109" s="136" t="s">
        <v>3</v>
      </c>
      <c r="N109" s="137" t="s">
        <v>48</v>
      </c>
      <c r="P109" s="138">
        <f>O109*H109</f>
        <v>0</v>
      </c>
      <c r="Q109" s="138">
        <v>0</v>
      </c>
      <c r="R109" s="138">
        <f>Q109*H109</f>
        <v>0</v>
      </c>
      <c r="S109" s="138">
        <v>0</v>
      </c>
      <c r="T109" s="139">
        <f>S109*H109</f>
        <v>0</v>
      </c>
      <c r="AR109" s="140" t="s">
        <v>185</v>
      </c>
      <c r="AT109" s="140" t="s">
        <v>180</v>
      </c>
      <c r="AU109" s="140" t="s">
        <v>87</v>
      </c>
      <c r="AY109" s="18" t="s">
        <v>177</v>
      </c>
      <c r="BE109" s="141">
        <f>IF(N109="základní",J109,0)</f>
        <v>0</v>
      </c>
      <c r="BF109" s="141">
        <f>IF(N109="snížená",J109,0)</f>
        <v>0</v>
      </c>
      <c r="BG109" s="141">
        <f>IF(N109="zákl. přenesená",J109,0)</f>
        <v>0</v>
      </c>
      <c r="BH109" s="141">
        <f>IF(N109="sníž. přenesená",J109,0)</f>
        <v>0</v>
      </c>
      <c r="BI109" s="141">
        <f>IF(N109="nulová",J109,0)</f>
        <v>0</v>
      </c>
      <c r="BJ109" s="18" t="s">
        <v>85</v>
      </c>
      <c r="BK109" s="141">
        <f>ROUND(I109*H109,2)</f>
        <v>0</v>
      </c>
      <c r="BL109" s="18" t="s">
        <v>185</v>
      </c>
      <c r="BM109" s="140" t="s">
        <v>3875</v>
      </c>
    </row>
    <row r="110" spans="2:47" s="1" customFormat="1" ht="29.25">
      <c r="B110" s="33"/>
      <c r="D110" s="142" t="s">
        <v>187</v>
      </c>
      <c r="F110" s="143" t="s">
        <v>2342</v>
      </c>
      <c r="I110" s="144"/>
      <c r="L110" s="33"/>
      <c r="M110" s="145"/>
      <c r="T110" s="54"/>
      <c r="AT110" s="18" t="s">
        <v>187</v>
      </c>
      <c r="AU110" s="18" t="s">
        <v>87</v>
      </c>
    </row>
    <row r="111" spans="2:47" s="1" customFormat="1" ht="11.25">
      <c r="B111" s="33"/>
      <c r="D111" s="146" t="s">
        <v>189</v>
      </c>
      <c r="F111" s="147" t="s">
        <v>2343</v>
      </c>
      <c r="I111" s="144"/>
      <c r="L111" s="33"/>
      <c r="M111" s="145"/>
      <c r="T111" s="54"/>
      <c r="AT111" s="18" t="s">
        <v>189</v>
      </c>
      <c r="AU111" s="18" t="s">
        <v>87</v>
      </c>
    </row>
    <row r="112" spans="2:47" s="1" customFormat="1" ht="58.5">
      <c r="B112" s="33"/>
      <c r="D112" s="142" t="s">
        <v>191</v>
      </c>
      <c r="F112" s="148" t="s">
        <v>228</v>
      </c>
      <c r="I112" s="144"/>
      <c r="L112" s="33"/>
      <c r="M112" s="145"/>
      <c r="T112" s="54"/>
      <c r="AT112" s="18" t="s">
        <v>191</v>
      </c>
      <c r="AU112" s="18" t="s">
        <v>87</v>
      </c>
    </row>
    <row r="113" spans="2:51" s="12" customFormat="1" ht="11.25">
      <c r="B113" s="149"/>
      <c r="D113" s="142" t="s">
        <v>193</v>
      </c>
      <c r="F113" s="151" t="s">
        <v>3876</v>
      </c>
      <c r="H113" s="152">
        <v>3.96</v>
      </c>
      <c r="I113" s="153"/>
      <c r="L113" s="149"/>
      <c r="M113" s="154"/>
      <c r="T113" s="155"/>
      <c r="AT113" s="150" t="s">
        <v>193</v>
      </c>
      <c r="AU113" s="150" t="s">
        <v>87</v>
      </c>
      <c r="AV113" s="12" t="s">
        <v>87</v>
      </c>
      <c r="AW113" s="12" t="s">
        <v>4</v>
      </c>
      <c r="AX113" s="12" t="s">
        <v>85</v>
      </c>
      <c r="AY113" s="150" t="s">
        <v>177</v>
      </c>
    </row>
    <row r="114" spans="2:65" s="1" customFormat="1" ht="16.5" customHeight="1">
      <c r="B114" s="128"/>
      <c r="C114" s="129" t="s">
        <v>200</v>
      </c>
      <c r="D114" s="129" t="s">
        <v>180</v>
      </c>
      <c r="E114" s="130" t="s">
        <v>2345</v>
      </c>
      <c r="F114" s="131" t="s">
        <v>2346</v>
      </c>
      <c r="G114" s="132" t="s">
        <v>806</v>
      </c>
      <c r="H114" s="133">
        <v>2.2</v>
      </c>
      <c r="I114" s="134"/>
      <c r="J114" s="135">
        <f>ROUND(I114*H114,2)</f>
        <v>0</v>
      </c>
      <c r="K114" s="131" t="s">
        <v>184</v>
      </c>
      <c r="L114" s="33"/>
      <c r="M114" s="136" t="s">
        <v>3</v>
      </c>
      <c r="N114" s="137" t="s">
        <v>48</v>
      </c>
      <c r="P114" s="138">
        <f>O114*H114</f>
        <v>0</v>
      </c>
      <c r="Q114" s="138">
        <v>0</v>
      </c>
      <c r="R114" s="138">
        <f>Q114*H114</f>
        <v>0</v>
      </c>
      <c r="S114" s="138">
        <v>0</v>
      </c>
      <c r="T114" s="139">
        <f>S114*H114</f>
        <v>0</v>
      </c>
      <c r="AR114" s="140" t="s">
        <v>185</v>
      </c>
      <c r="AT114" s="140" t="s">
        <v>180</v>
      </c>
      <c r="AU114" s="140" t="s">
        <v>87</v>
      </c>
      <c r="AY114" s="18" t="s">
        <v>177</v>
      </c>
      <c r="BE114" s="141">
        <f>IF(N114="základní",J114,0)</f>
        <v>0</v>
      </c>
      <c r="BF114" s="141">
        <f>IF(N114="snížená",J114,0)</f>
        <v>0</v>
      </c>
      <c r="BG114" s="141">
        <f>IF(N114="zákl. přenesená",J114,0)</f>
        <v>0</v>
      </c>
      <c r="BH114" s="141">
        <f>IF(N114="sníž. přenesená",J114,0)</f>
        <v>0</v>
      </c>
      <c r="BI114" s="141">
        <f>IF(N114="nulová",J114,0)</f>
        <v>0</v>
      </c>
      <c r="BJ114" s="18" t="s">
        <v>85</v>
      </c>
      <c r="BK114" s="141">
        <f>ROUND(I114*H114,2)</f>
        <v>0</v>
      </c>
      <c r="BL114" s="18" t="s">
        <v>185</v>
      </c>
      <c r="BM114" s="140" t="s">
        <v>3877</v>
      </c>
    </row>
    <row r="115" spans="2:47" s="1" customFormat="1" ht="19.5">
      <c r="B115" s="33"/>
      <c r="D115" s="142" t="s">
        <v>187</v>
      </c>
      <c r="F115" s="143" t="s">
        <v>2348</v>
      </c>
      <c r="I115" s="144"/>
      <c r="L115" s="33"/>
      <c r="M115" s="145"/>
      <c r="T115" s="54"/>
      <c r="AT115" s="18" t="s">
        <v>187</v>
      </c>
      <c r="AU115" s="18" t="s">
        <v>87</v>
      </c>
    </row>
    <row r="116" spans="2:47" s="1" customFormat="1" ht="11.25">
      <c r="B116" s="33"/>
      <c r="D116" s="146" t="s">
        <v>189</v>
      </c>
      <c r="F116" s="147" t="s">
        <v>2349</v>
      </c>
      <c r="I116" s="144"/>
      <c r="L116" s="33"/>
      <c r="M116" s="145"/>
      <c r="T116" s="54"/>
      <c r="AT116" s="18" t="s">
        <v>189</v>
      </c>
      <c r="AU116" s="18" t="s">
        <v>87</v>
      </c>
    </row>
    <row r="117" spans="2:47" s="1" customFormat="1" ht="165.75">
      <c r="B117" s="33"/>
      <c r="D117" s="142" t="s">
        <v>191</v>
      </c>
      <c r="F117" s="148" t="s">
        <v>2350</v>
      </c>
      <c r="I117" s="144"/>
      <c r="L117" s="33"/>
      <c r="M117" s="145"/>
      <c r="T117" s="54"/>
      <c r="AT117" s="18" t="s">
        <v>191</v>
      </c>
      <c r="AU117" s="18" t="s">
        <v>87</v>
      </c>
    </row>
    <row r="118" spans="2:65" s="1" customFormat="1" ht="24.2" customHeight="1">
      <c r="B118" s="128"/>
      <c r="C118" s="129" t="s">
        <v>233</v>
      </c>
      <c r="D118" s="129" t="s">
        <v>180</v>
      </c>
      <c r="E118" s="130" t="s">
        <v>3878</v>
      </c>
      <c r="F118" s="131" t="s">
        <v>3879</v>
      </c>
      <c r="G118" s="132" t="s">
        <v>806</v>
      </c>
      <c r="H118" s="133">
        <v>15.8</v>
      </c>
      <c r="I118" s="134"/>
      <c r="J118" s="135">
        <f>ROUND(I118*H118,2)</f>
        <v>0</v>
      </c>
      <c r="K118" s="131" t="s">
        <v>184</v>
      </c>
      <c r="L118" s="33"/>
      <c r="M118" s="136" t="s">
        <v>3</v>
      </c>
      <c r="N118" s="137" t="s">
        <v>48</v>
      </c>
      <c r="P118" s="138">
        <f>O118*H118</f>
        <v>0</v>
      </c>
      <c r="Q118" s="138">
        <v>0</v>
      </c>
      <c r="R118" s="138">
        <f>Q118*H118</f>
        <v>0</v>
      </c>
      <c r="S118" s="138">
        <v>0</v>
      </c>
      <c r="T118" s="139">
        <f>S118*H118</f>
        <v>0</v>
      </c>
      <c r="AR118" s="140" t="s">
        <v>185</v>
      </c>
      <c r="AT118" s="140" t="s">
        <v>180</v>
      </c>
      <c r="AU118" s="140" t="s">
        <v>87</v>
      </c>
      <c r="AY118" s="18" t="s">
        <v>177</v>
      </c>
      <c r="BE118" s="141">
        <f>IF(N118="základní",J118,0)</f>
        <v>0</v>
      </c>
      <c r="BF118" s="141">
        <f>IF(N118="snížená",J118,0)</f>
        <v>0</v>
      </c>
      <c r="BG118" s="141">
        <f>IF(N118="zákl. přenesená",J118,0)</f>
        <v>0</v>
      </c>
      <c r="BH118" s="141">
        <f>IF(N118="sníž. přenesená",J118,0)</f>
        <v>0</v>
      </c>
      <c r="BI118" s="141">
        <f>IF(N118="nulová",J118,0)</f>
        <v>0</v>
      </c>
      <c r="BJ118" s="18" t="s">
        <v>85</v>
      </c>
      <c r="BK118" s="141">
        <f>ROUND(I118*H118,2)</f>
        <v>0</v>
      </c>
      <c r="BL118" s="18" t="s">
        <v>185</v>
      </c>
      <c r="BM118" s="140" t="s">
        <v>3880</v>
      </c>
    </row>
    <row r="119" spans="2:47" s="1" customFormat="1" ht="29.25">
      <c r="B119" s="33"/>
      <c r="D119" s="142" t="s">
        <v>187</v>
      </c>
      <c r="F119" s="143" t="s">
        <v>3881</v>
      </c>
      <c r="I119" s="144"/>
      <c r="L119" s="33"/>
      <c r="M119" s="145"/>
      <c r="T119" s="54"/>
      <c r="AT119" s="18" t="s">
        <v>187</v>
      </c>
      <c r="AU119" s="18" t="s">
        <v>87</v>
      </c>
    </row>
    <row r="120" spans="2:47" s="1" customFormat="1" ht="11.25">
      <c r="B120" s="33"/>
      <c r="D120" s="146" t="s">
        <v>189</v>
      </c>
      <c r="F120" s="147" t="s">
        <v>3882</v>
      </c>
      <c r="I120" s="144"/>
      <c r="L120" s="33"/>
      <c r="M120" s="145"/>
      <c r="T120" s="54"/>
      <c r="AT120" s="18" t="s">
        <v>189</v>
      </c>
      <c r="AU120" s="18" t="s">
        <v>87</v>
      </c>
    </row>
    <row r="121" spans="2:47" s="1" customFormat="1" ht="243.75">
      <c r="B121" s="33"/>
      <c r="D121" s="142" t="s">
        <v>191</v>
      </c>
      <c r="F121" s="148" t="s">
        <v>3883</v>
      </c>
      <c r="I121" s="144"/>
      <c r="L121" s="33"/>
      <c r="M121" s="145"/>
      <c r="T121" s="54"/>
      <c r="AT121" s="18" t="s">
        <v>191</v>
      </c>
      <c r="AU121" s="18" t="s">
        <v>87</v>
      </c>
    </row>
    <row r="122" spans="2:51" s="12" customFormat="1" ht="11.25">
      <c r="B122" s="149"/>
      <c r="D122" s="142" t="s">
        <v>193</v>
      </c>
      <c r="E122" s="150" t="s">
        <v>3</v>
      </c>
      <c r="F122" s="151" t="s">
        <v>3884</v>
      </c>
      <c r="H122" s="152">
        <v>15.8</v>
      </c>
      <c r="I122" s="153"/>
      <c r="L122" s="149"/>
      <c r="M122" s="154"/>
      <c r="T122" s="155"/>
      <c r="AT122" s="150" t="s">
        <v>193</v>
      </c>
      <c r="AU122" s="150" t="s">
        <v>87</v>
      </c>
      <c r="AV122" s="12" t="s">
        <v>87</v>
      </c>
      <c r="AW122" s="12" t="s">
        <v>36</v>
      </c>
      <c r="AX122" s="12" t="s">
        <v>85</v>
      </c>
      <c r="AY122" s="150" t="s">
        <v>177</v>
      </c>
    </row>
    <row r="123" spans="2:65" s="1" customFormat="1" ht="24.2" customHeight="1">
      <c r="B123" s="128"/>
      <c r="C123" s="129" t="s">
        <v>241</v>
      </c>
      <c r="D123" s="129" t="s">
        <v>180</v>
      </c>
      <c r="E123" s="130" t="s">
        <v>3885</v>
      </c>
      <c r="F123" s="131" t="s">
        <v>3886</v>
      </c>
      <c r="G123" s="132" t="s">
        <v>806</v>
      </c>
      <c r="H123" s="133">
        <v>1.08</v>
      </c>
      <c r="I123" s="134"/>
      <c r="J123" s="135">
        <f>ROUND(I123*H123,2)</f>
        <v>0</v>
      </c>
      <c r="K123" s="131" t="s">
        <v>184</v>
      </c>
      <c r="L123" s="33"/>
      <c r="M123" s="136" t="s">
        <v>3</v>
      </c>
      <c r="N123" s="137" t="s">
        <v>48</v>
      </c>
      <c r="P123" s="138">
        <f>O123*H123</f>
        <v>0</v>
      </c>
      <c r="Q123" s="138">
        <v>0</v>
      </c>
      <c r="R123" s="138">
        <f>Q123*H123</f>
        <v>0</v>
      </c>
      <c r="S123" s="138">
        <v>0</v>
      </c>
      <c r="T123" s="139">
        <f>S123*H123</f>
        <v>0</v>
      </c>
      <c r="AR123" s="140" t="s">
        <v>185</v>
      </c>
      <c r="AT123" s="140" t="s">
        <v>180</v>
      </c>
      <c r="AU123" s="140" t="s">
        <v>87</v>
      </c>
      <c r="AY123" s="18" t="s">
        <v>177</v>
      </c>
      <c r="BE123" s="141">
        <f>IF(N123="základní",J123,0)</f>
        <v>0</v>
      </c>
      <c r="BF123" s="141">
        <f>IF(N123="snížená",J123,0)</f>
        <v>0</v>
      </c>
      <c r="BG123" s="141">
        <f>IF(N123="zákl. přenesená",J123,0)</f>
        <v>0</v>
      </c>
      <c r="BH123" s="141">
        <f>IF(N123="sníž. přenesená",J123,0)</f>
        <v>0</v>
      </c>
      <c r="BI123" s="141">
        <f>IF(N123="nulová",J123,0)</f>
        <v>0</v>
      </c>
      <c r="BJ123" s="18" t="s">
        <v>85</v>
      </c>
      <c r="BK123" s="141">
        <f>ROUND(I123*H123,2)</f>
        <v>0</v>
      </c>
      <c r="BL123" s="18" t="s">
        <v>185</v>
      </c>
      <c r="BM123" s="140" t="s">
        <v>3887</v>
      </c>
    </row>
    <row r="124" spans="2:47" s="1" customFormat="1" ht="39">
      <c r="B124" s="33"/>
      <c r="D124" s="142" t="s">
        <v>187</v>
      </c>
      <c r="F124" s="143" t="s">
        <v>3888</v>
      </c>
      <c r="I124" s="144"/>
      <c r="L124" s="33"/>
      <c r="M124" s="145"/>
      <c r="T124" s="54"/>
      <c r="AT124" s="18" t="s">
        <v>187</v>
      </c>
      <c r="AU124" s="18" t="s">
        <v>87</v>
      </c>
    </row>
    <row r="125" spans="2:47" s="1" customFormat="1" ht="11.25">
      <c r="B125" s="33"/>
      <c r="D125" s="146" t="s">
        <v>189</v>
      </c>
      <c r="F125" s="147" t="s">
        <v>3889</v>
      </c>
      <c r="I125" s="144"/>
      <c r="L125" s="33"/>
      <c r="M125" s="145"/>
      <c r="T125" s="54"/>
      <c r="AT125" s="18" t="s">
        <v>189</v>
      </c>
      <c r="AU125" s="18" t="s">
        <v>87</v>
      </c>
    </row>
    <row r="126" spans="2:47" s="1" customFormat="1" ht="97.5">
      <c r="B126" s="33"/>
      <c r="D126" s="142" t="s">
        <v>191</v>
      </c>
      <c r="F126" s="148" t="s">
        <v>3890</v>
      </c>
      <c r="I126" s="144"/>
      <c r="L126" s="33"/>
      <c r="M126" s="145"/>
      <c r="T126" s="54"/>
      <c r="AT126" s="18" t="s">
        <v>191</v>
      </c>
      <c r="AU126" s="18" t="s">
        <v>87</v>
      </c>
    </row>
    <row r="127" spans="2:51" s="12" customFormat="1" ht="11.25">
      <c r="B127" s="149"/>
      <c r="D127" s="142" t="s">
        <v>193</v>
      </c>
      <c r="E127" s="150" t="s">
        <v>3</v>
      </c>
      <c r="F127" s="151" t="s">
        <v>3891</v>
      </c>
      <c r="H127" s="152">
        <v>1.08</v>
      </c>
      <c r="I127" s="153"/>
      <c r="L127" s="149"/>
      <c r="M127" s="154"/>
      <c r="T127" s="155"/>
      <c r="AT127" s="150" t="s">
        <v>193</v>
      </c>
      <c r="AU127" s="150" t="s">
        <v>87</v>
      </c>
      <c r="AV127" s="12" t="s">
        <v>87</v>
      </c>
      <c r="AW127" s="12" t="s">
        <v>36</v>
      </c>
      <c r="AX127" s="12" t="s">
        <v>85</v>
      </c>
      <c r="AY127" s="150" t="s">
        <v>177</v>
      </c>
    </row>
    <row r="128" spans="2:65" s="1" customFormat="1" ht="16.5" customHeight="1">
      <c r="B128" s="128"/>
      <c r="C128" s="179" t="s">
        <v>248</v>
      </c>
      <c r="D128" s="179" t="s">
        <v>484</v>
      </c>
      <c r="E128" s="180" t="s">
        <v>3892</v>
      </c>
      <c r="F128" s="181" t="s">
        <v>3893</v>
      </c>
      <c r="G128" s="182" t="s">
        <v>183</v>
      </c>
      <c r="H128" s="183">
        <v>2.16</v>
      </c>
      <c r="I128" s="184"/>
      <c r="J128" s="185">
        <f>ROUND(I128*H128,2)</f>
        <v>0</v>
      </c>
      <c r="K128" s="181" t="s">
        <v>184</v>
      </c>
      <c r="L128" s="186"/>
      <c r="M128" s="187" t="s">
        <v>3</v>
      </c>
      <c r="N128" s="188" t="s">
        <v>48</v>
      </c>
      <c r="P128" s="138">
        <f>O128*H128</f>
        <v>0</v>
      </c>
      <c r="Q128" s="138">
        <v>1</v>
      </c>
      <c r="R128" s="138">
        <f>Q128*H128</f>
        <v>2.16</v>
      </c>
      <c r="S128" s="138">
        <v>0</v>
      </c>
      <c r="T128" s="139">
        <f>S128*H128</f>
        <v>0</v>
      </c>
      <c r="AR128" s="140" t="s">
        <v>248</v>
      </c>
      <c r="AT128" s="140" t="s">
        <v>484</v>
      </c>
      <c r="AU128" s="140" t="s">
        <v>87</v>
      </c>
      <c r="AY128" s="18" t="s">
        <v>177</v>
      </c>
      <c r="BE128" s="141">
        <f>IF(N128="základní",J128,0)</f>
        <v>0</v>
      </c>
      <c r="BF128" s="141">
        <f>IF(N128="snížená",J128,0)</f>
        <v>0</v>
      </c>
      <c r="BG128" s="141">
        <f>IF(N128="zákl. přenesená",J128,0)</f>
        <v>0</v>
      </c>
      <c r="BH128" s="141">
        <f>IF(N128="sníž. přenesená",J128,0)</f>
        <v>0</v>
      </c>
      <c r="BI128" s="141">
        <f>IF(N128="nulová",J128,0)</f>
        <v>0</v>
      </c>
      <c r="BJ128" s="18" t="s">
        <v>85</v>
      </c>
      <c r="BK128" s="141">
        <f>ROUND(I128*H128,2)</f>
        <v>0</v>
      </c>
      <c r="BL128" s="18" t="s">
        <v>185</v>
      </c>
      <c r="BM128" s="140" t="s">
        <v>3894</v>
      </c>
    </row>
    <row r="129" spans="2:47" s="1" customFormat="1" ht="11.25">
      <c r="B129" s="33"/>
      <c r="D129" s="142" t="s">
        <v>187</v>
      </c>
      <c r="F129" s="143" t="s">
        <v>3895</v>
      </c>
      <c r="I129" s="144"/>
      <c r="L129" s="33"/>
      <c r="M129" s="145"/>
      <c r="T129" s="54"/>
      <c r="AT129" s="18" t="s">
        <v>187</v>
      </c>
      <c r="AU129" s="18" t="s">
        <v>87</v>
      </c>
    </row>
    <row r="130" spans="2:51" s="12" customFormat="1" ht="11.25">
      <c r="B130" s="149"/>
      <c r="D130" s="142" t="s">
        <v>193</v>
      </c>
      <c r="F130" s="151" t="s">
        <v>3896</v>
      </c>
      <c r="H130" s="152">
        <v>2.16</v>
      </c>
      <c r="I130" s="153"/>
      <c r="L130" s="149"/>
      <c r="M130" s="154"/>
      <c r="T130" s="155"/>
      <c r="AT130" s="150" t="s">
        <v>193</v>
      </c>
      <c r="AU130" s="150" t="s">
        <v>87</v>
      </c>
      <c r="AV130" s="12" t="s">
        <v>87</v>
      </c>
      <c r="AW130" s="12" t="s">
        <v>4</v>
      </c>
      <c r="AX130" s="12" t="s">
        <v>85</v>
      </c>
      <c r="AY130" s="150" t="s">
        <v>177</v>
      </c>
    </row>
    <row r="131" spans="2:63" s="11" customFormat="1" ht="22.9" customHeight="1">
      <c r="B131" s="116"/>
      <c r="D131" s="117" t="s">
        <v>76</v>
      </c>
      <c r="E131" s="126" t="s">
        <v>185</v>
      </c>
      <c r="F131" s="126" t="s">
        <v>1575</v>
      </c>
      <c r="I131" s="119"/>
      <c r="J131" s="127">
        <f>BK131</f>
        <v>0</v>
      </c>
      <c r="L131" s="116"/>
      <c r="M131" s="121"/>
      <c r="P131" s="122">
        <f>SUM(P132:P136)</f>
        <v>0</v>
      </c>
      <c r="R131" s="122">
        <f>SUM(R132:R136)</f>
        <v>2.1176624000000004</v>
      </c>
      <c r="T131" s="123">
        <f>SUM(T132:T136)</f>
        <v>0</v>
      </c>
      <c r="AR131" s="117" t="s">
        <v>85</v>
      </c>
      <c r="AT131" s="124" t="s">
        <v>76</v>
      </c>
      <c r="AU131" s="124" t="s">
        <v>85</v>
      </c>
      <c r="AY131" s="117" t="s">
        <v>177</v>
      </c>
      <c r="BK131" s="125">
        <f>SUM(BK132:BK136)</f>
        <v>0</v>
      </c>
    </row>
    <row r="132" spans="2:65" s="1" customFormat="1" ht="16.5" customHeight="1">
      <c r="B132" s="128"/>
      <c r="C132" s="129" t="s">
        <v>252</v>
      </c>
      <c r="D132" s="129" t="s">
        <v>180</v>
      </c>
      <c r="E132" s="130" t="s">
        <v>3897</v>
      </c>
      <c r="F132" s="131" t="s">
        <v>3898</v>
      </c>
      <c r="G132" s="132" t="s">
        <v>806</v>
      </c>
      <c r="H132" s="133">
        <v>1.12</v>
      </c>
      <c r="I132" s="134"/>
      <c r="J132" s="135">
        <f>ROUND(I132*H132,2)</f>
        <v>0</v>
      </c>
      <c r="K132" s="131" t="s">
        <v>184</v>
      </c>
      <c r="L132" s="33"/>
      <c r="M132" s="136" t="s">
        <v>3</v>
      </c>
      <c r="N132" s="137" t="s">
        <v>48</v>
      </c>
      <c r="P132" s="138">
        <f>O132*H132</f>
        <v>0</v>
      </c>
      <c r="Q132" s="138">
        <v>1.89077</v>
      </c>
      <c r="R132" s="138">
        <f>Q132*H132</f>
        <v>2.1176624000000004</v>
      </c>
      <c r="S132" s="138">
        <v>0</v>
      </c>
      <c r="T132" s="139">
        <f>S132*H132</f>
        <v>0</v>
      </c>
      <c r="AR132" s="140" t="s">
        <v>185</v>
      </c>
      <c r="AT132" s="140" t="s">
        <v>180</v>
      </c>
      <c r="AU132" s="140" t="s">
        <v>87</v>
      </c>
      <c r="AY132" s="18" t="s">
        <v>177</v>
      </c>
      <c r="BE132" s="141">
        <f>IF(N132="základní",J132,0)</f>
        <v>0</v>
      </c>
      <c r="BF132" s="141">
        <f>IF(N132="snížená",J132,0)</f>
        <v>0</v>
      </c>
      <c r="BG132" s="141">
        <f>IF(N132="zákl. přenesená",J132,0)</f>
        <v>0</v>
      </c>
      <c r="BH132" s="141">
        <f>IF(N132="sníž. přenesená",J132,0)</f>
        <v>0</v>
      </c>
      <c r="BI132" s="141">
        <f>IF(N132="nulová",J132,0)</f>
        <v>0</v>
      </c>
      <c r="BJ132" s="18" t="s">
        <v>85</v>
      </c>
      <c r="BK132" s="141">
        <f>ROUND(I132*H132,2)</f>
        <v>0</v>
      </c>
      <c r="BL132" s="18" t="s">
        <v>185</v>
      </c>
      <c r="BM132" s="140" t="s">
        <v>3899</v>
      </c>
    </row>
    <row r="133" spans="2:47" s="1" customFormat="1" ht="19.5">
      <c r="B133" s="33"/>
      <c r="D133" s="142" t="s">
        <v>187</v>
      </c>
      <c r="F133" s="143" t="s">
        <v>3900</v>
      </c>
      <c r="I133" s="144"/>
      <c r="L133" s="33"/>
      <c r="M133" s="145"/>
      <c r="T133" s="54"/>
      <c r="AT133" s="18" t="s">
        <v>187</v>
      </c>
      <c r="AU133" s="18" t="s">
        <v>87</v>
      </c>
    </row>
    <row r="134" spans="2:47" s="1" customFormat="1" ht="11.25">
      <c r="B134" s="33"/>
      <c r="D134" s="146" t="s">
        <v>189</v>
      </c>
      <c r="F134" s="147" t="s">
        <v>3901</v>
      </c>
      <c r="I134" s="144"/>
      <c r="L134" s="33"/>
      <c r="M134" s="145"/>
      <c r="T134" s="54"/>
      <c r="AT134" s="18" t="s">
        <v>189</v>
      </c>
      <c r="AU134" s="18" t="s">
        <v>87</v>
      </c>
    </row>
    <row r="135" spans="2:47" s="1" customFormat="1" ht="58.5">
      <c r="B135" s="33"/>
      <c r="D135" s="142" t="s">
        <v>191</v>
      </c>
      <c r="F135" s="148" t="s">
        <v>3902</v>
      </c>
      <c r="I135" s="144"/>
      <c r="L135" s="33"/>
      <c r="M135" s="145"/>
      <c r="T135" s="54"/>
      <c r="AT135" s="18" t="s">
        <v>191</v>
      </c>
      <c r="AU135" s="18" t="s">
        <v>87</v>
      </c>
    </row>
    <row r="136" spans="2:51" s="12" customFormat="1" ht="11.25">
      <c r="B136" s="149"/>
      <c r="D136" s="142" t="s">
        <v>193</v>
      </c>
      <c r="E136" s="150" t="s">
        <v>3</v>
      </c>
      <c r="F136" s="151" t="s">
        <v>3903</v>
      </c>
      <c r="H136" s="152">
        <v>1.12</v>
      </c>
      <c r="I136" s="153"/>
      <c r="L136" s="149"/>
      <c r="M136" s="154"/>
      <c r="T136" s="155"/>
      <c r="AT136" s="150" t="s">
        <v>193</v>
      </c>
      <c r="AU136" s="150" t="s">
        <v>87</v>
      </c>
      <c r="AV136" s="12" t="s">
        <v>87</v>
      </c>
      <c r="AW136" s="12" t="s">
        <v>36</v>
      </c>
      <c r="AX136" s="12" t="s">
        <v>85</v>
      </c>
      <c r="AY136" s="150" t="s">
        <v>177</v>
      </c>
    </row>
    <row r="137" spans="2:63" s="11" customFormat="1" ht="22.9" customHeight="1">
      <c r="B137" s="116"/>
      <c r="D137" s="117" t="s">
        <v>76</v>
      </c>
      <c r="E137" s="126" t="s">
        <v>248</v>
      </c>
      <c r="F137" s="126" t="s">
        <v>3904</v>
      </c>
      <c r="I137" s="119"/>
      <c r="J137" s="127">
        <f>BK137</f>
        <v>0</v>
      </c>
      <c r="L137" s="116"/>
      <c r="M137" s="121"/>
      <c r="P137" s="122">
        <f>SUM(P138:P143)</f>
        <v>0</v>
      </c>
      <c r="R137" s="122">
        <f>SUM(R138:R143)</f>
        <v>0.0042084</v>
      </c>
      <c r="T137" s="123">
        <f>SUM(T138:T143)</f>
        <v>0</v>
      </c>
      <c r="AR137" s="117" t="s">
        <v>85</v>
      </c>
      <c r="AT137" s="124" t="s">
        <v>76</v>
      </c>
      <c r="AU137" s="124" t="s">
        <v>85</v>
      </c>
      <c r="AY137" s="117" t="s">
        <v>177</v>
      </c>
      <c r="BK137" s="125">
        <f>SUM(BK138:BK143)</f>
        <v>0</v>
      </c>
    </row>
    <row r="138" spans="2:65" s="1" customFormat="1" ht="16.5" customHeight="1">
      <c r="B138" s="128"/>
      <c r="C138" s="129" t="s">
        <v>258</v>
      </c>
      <c r="D138" s="129" t="s">
        <v>180</v>
      </c>
      <c r="E138" s="130" t="s">
        <v>3905</v>
      </c>
      <c r="F138" s="131" t="s">
        <v>3906</v>
      </c>
      <c r="G138" s="132" t="s">
        <v>476</v>
      </c>
      <c r="H138" s="133">
        <v>15</v>
      </c>
      <c r="I138" s="134"/>
      <c r="J138" s="135">
        <f>ROUND(I138*H138,2)</f>
        <v>0</v>
      </c>
      <c r="K138" s="131" t="s">
        <v>184</v>
      </c>
      <c r="L138" s="33"/>
      <c r="M138" s="136" t="s">
        <v>3</v>
      </c>
      <c r="N138" s="137" t="s">
        <v>48</v>
      </c>
      <c r="P138" s="138">
        <f>O138*H138</f>
        <v>0</v>
      </c>
      <c r="Q138" s="138">
        <v>0.00019236</v>
      </c>
      <c r="R138" s="138">
        <f>Q138*H138</f>
        <v>0.0028854</v>
      </c>
      <c r="S138" s="138">
        <v>0</v>
      </c>
      <c r="T138" s="139">
        <f>S138*H138</f>
        <v>0</v>
      </c>
      <c r="AR138" s="140" t="s">
        <v>185</v>
      </c>
      <c r="AT138" s="140" t="s">
        <v>180</v>
      </c>
      <c r="AU138" s="140" t="s">
        <v>87</v>
      </c>
      <c r="AY138" s="18" t="s">
        <v>177</v>
      </c>
      <c r="BE138" s="141">
        <f>IF(N138="základní",J138,0)</f>
        <v>0</v>
      </c>
      <c r="BF138" s="141">
        <f>IF(N138="snížená",J138,0)</f>
        <v>0</v>
      </c>
      <c r="BG138" s="141">
        <f>IF(N138="zákl. přenesená",J138,0)</f>
        <v>0</v>
      </c>
      <c r="BH138" s="141">
        <f>IF(N138="sníž. přenesená",J138,0)</f>
        <v>0</v>
      </c>
      <c r="BI138" s="141">
        <f>IF(N138="nulová",J138,0)</f>
        <v>0</v>
      </c>
      <c r="BJ138" s="18" t="s">
        <v>85</v>
      </c>
      <c r="BK138" s="141">
        <f>ROUND(I138*H138,2)</f>
        <v>0</v>
      </c>
      <c r="BL138" s="18" t="s">
        <v>185</v>
      </c>
      <c r="BM138" s="140" t="s">
        <v>3907</v>
      </c>
    </row>
    <row r="139" spans="2:47" s="1" customFormat="1" ht="11.25">
      <c r="B139" s="33"/>
      <c r="D139" s="142" t="s">
        <v>187</v>
      </c>
      <c r="F139" s="143" t="s">
        <v>3908</v>
      </c>
      <c r="I139" s="144"/>
      <c r="L139" s="33"/>
      <c r="M139" s="145"/>
      <c r="T139" s="54"/>
      <c r="AT139" s="18" t="s">
        <v>187</v>
      </c>
      <c r="AU139" s="18" t="s">
        <v>87</v>
      </c>
    </row>
    <row r="140" spans="2:47" s="1" customFormat="1" ht="11.25">
      <c r="B140" s="33"/>
      <c r="D140" s="146" t="s">
        <v>189</v>
      </c>
      <c r="F140" s="147" t="s">
        <v>3909</v>
      </c>
      <c r="I140" s="144"/>
      <c r="L140" s="33"/>
      <c r="M140" s="145"/>
      <c r="T140" s="54"/>
      <c r="AT140" s="18" t="s">
        <v>189</v>
      </c>
      <c r="AU140" s="18" t="s">
        <v>87</v>
      </c>
    </row>
    <row r="141" spans="2:65" s="1" customFormat="1" ht="21.75" customHeight="1">
      <c r="B141" s="128"/>
      <c r="C141" s="129" t="s">
        <v>265</v>
      </c>
      <c r="D141" s="129" t="s">
        <v>180</v>
      </c>
      <c r="E141" s="130" t="s">
        <v>3910</v>
      </c>
      <c r="F141" s="131" t="s">
        <v>3911</v>
      </c>
      <c r="G141" s="132" t="s">
        <v>476</v>
      </c>
      <c r="H141" s="133">
        <v>14</v>
      </c>
      <c r="I141" s="134"/>
      <c r="J141" s="135">
        <f>ROUND(I141*H141,2)</f>
        <v>0</v>
      </c>
      <c r="K141" s="131" t="s">
        <v>184</v>
      </c>
      <c r="L141" s="33"/>
      <c r="M141" s="136" t="s">
        <v>3</v>
      </c>
      <c r="N141" s="137" t="s">
        <v>48</v>
      </c>
      <c r="P141" s="138">
        <f>O141*H141</f>
        <v>0</v>
      </c>
      <c r="Q141" s="138">
        <v>9.45E-05</v>
      </c>
      <c r="R141" s="138">
        <f>Q141*H141</f>
        <v>0.0013230000000000002</v>
      </c>
      <c r="S141" s="138">
        <v>0</v>
      </c>
      <c r="T141" s="139">
        <f>S141*H141</f>
        <v>0</v>
      </c>
      <c r="AR141" s="140" t="s">
        <v>185</v>
      </c>
      <c r="AT141" s="140" t="s">
        <v>180</v>
      </c>
      <c r="AU141" s="140" t="s">
        <v>87</v>
      </c>
      <c r="AY141" s="18" t="s">
        <v>177</v>
      </c>
      <c r="BE141" s="141">
        <f>IF(N141="základní",J141,0)</f>
        <v>0</v>
      </c>
      <c r="BF141" s="141">
        <f>IF(N141="snížená",J141,0)</f>
        <v>0</v>
      </c>
      <c r="BG141" s="141">
        <f>IF(N141="zákl. přenesená",J141,0)</f>
        <v>0</v>
      </c>
      <c r="BH141" s="141">
        <f>IF(N141="sníž. přenesená",J141,0)</f>
        <v>0</v>
      </c>
      <c r="BI141" s="141">
        <f>IF(N141="nulová",J141,0)</f>
        <v>0</v>
      </c>
      <c r="BJ141" s="18" t="s">
        <v>85</v>
      </c>
      <c r="BK141" s="141">
        <f>ROUND(I141*H141,2)</f>
        <v>0</v>
      </c>
      <c r="BL141" s="18" t="s">
        <v>185</v>
      </c>
      <c r="BM141" s="140" t="s">
        <v>3912</v>
      </c>
    </row>
    <row r="142" spans="2:47" s="1" customFormat="1" ht="11.25">
      <c r="B142" s="33"/>
      <c r="D142" s="142" t="s">
        <v>187</v>
      </c>
      <c r="F142" s="143" t="s">
        <v>3913</v>
      </c>
      <c r="I142" s="144"/>
      <c r="L142" s="33"/>
      <c r="M142" s="145"/>
      <c r="T142" s="54"/>
      <c r="AT142" s="18" t="s">
        <v>187</v>
      </c>
      <c r="AU142" s="18" t="s">
        <v>87</v>
      </c>
    </row>
    <row r="143" spans="2:47" s="1" customFormat="1" ht="11.25">
      <c r="B143" s="33"/>
      <c r="D143" s="146" t="s">
        <v>189</v>
      </c>
      <c r="F143" s="147" t="s">
        <v>3914</v>
      </c>
      <c r="I143" s="144"/>
      <c r="L143" s="33"/>
      <c r="M143" s="145"/>
      <c r="T143" s="54"/>
      <c r="AT143" s="18" t="s">
        <v>189</v>
      </c>
      <c r="AU143" s="18" t="s">
        <v>87</v>
      </c>
    </row>
    <row r="144" spans="2:63" s="11" customFormat="1" ht="22.9" customHeight="1">
      <c r="B144" s="116"/>
      <c r="D144" s="117" t="s">
        <v>76</v>
      </c>
      <c r="E144" s="126" t="s">
        <v>252</v>
      </c>
      <c r="F144" s="126" t="s">
        <v>329</v>
      </c>
      <c r="I144" s="119"/>
      <c r="J144" s="127">
        <f>BK144</f>
        <v>0</v>
      </c>
      <c r="L144" s="116"/>
      <c r="M144" s="121"/>
      <c r="P144" s="122">
        <f>SUM(P145:P152)</f>
        <v>0</v>
      </c>
      <c r="R144" s="122">
        <f>SUM(R145:R152)</f>
        <v>0.02336</v>
      </c>
      <c r="T144" s="123">
        <f>SUM(T145:T152)</f>
        <v>0</v>
      </c>
      <c r="AR144" s="117" t="s">
        <v>85</v>
      </c>
      <c r="AT144" s="124" t="s">
        <v>76</v>
      </c>
      <c r="AU144" s="124" t="s">
        <v>85</v>
      </c>
      <c r="AY144" s="117" t="s">
        <v>177</v>
      </c>
      <c r="BK144" s="125">
        <f>SUM(BK145:BK152)</f>
        <v>0</v>
      </c>
    </row>
    <row r="145" spans="2:65" s="1" customFormat="1" ht="16.5" customHeight="1">
      <c r="B145" s="128"/>
      <c r="C145" s="129" t="s">
        <v>271</v>
      </c>
      <c r="D145" s="129" t="s">
        <v>180</v>
      </c>
      <c r="E145" s="130" t="s">
        <v>3915</v>
      </c>
      <c r="F145" s="131" t="s">
        <v>3916</v>
      </c>
      <c r="G145" s="132" t="s">
        <v>236</v>
      </c>
      <c r="H145" s="133">
        <v>2</v>
      </c>
      <c r="I145" s="134"/>
      <c r="J145" s="135">
        <f>ROUND(I145*H145,2)</f>
        <v>0</v>
      </c>
      <c r="K145" s="131" t="s">
        <v>184</v>
      </c>
      <c r="L145" s="33"/>
      <c r="M145" s="136" t="s">
        <v>3</v>
      </c>
      <c r="N145" s="137" t="s">
        <v>48</v>
      </c>
      <c r="P145" s="138">
        <f>O145*H145</f>
        <v>0</v>
      </c>
      <c r="Q145" s="138">
        <v>0.00468</v>
      </c>
      <c r="R145" s="138">
        <f>Q145*H145</f>
        <v>0.00936</v>
      </c>
      <c r="S145" s="138">
        <v>0</v>
      </c>
      <c r="T145" s="139">
        <f>S145*H145</f>
        <v>0</v>
      </c>
      <c r="AR145" s="140" t="s">
        <v>185</v>
      </c>
      <c r="AT145" s="140" t="s">
        <v>180</v>
      </c>
      <c r="AU145" s="140" t="s">
        <v>87</v>
      </c>
      <c r="AY145" s="18" t="s">
        <v>177</v>
      </c>
      <c r="BE145" s="141">
        <f>IF(N145="základní",J145,0)</f>
        <v>0</v>
      </c>
      <c r="BF145" s="141">
        <f>IF(N145="snížená",J145,0)</f>
        <v>0</v>
      </c>
      <c r="BG145" s="141">
        <f>IF(N145="zákl. přenesená",J145,0)</f>
        <v>0</v>
      </c>
      <c r="BH145" s="141">
        <f>IF(N145="sníž. přenesená",J145,0)</f>
        <v>0</v>
      </c>
      <c r="BI145" s="141">
        <f>IF(N145="nulová",J145,0)</f>
        <v>0</v>
      </c>
      <c r="BJ145" s="18" t="s">
        <v>85</v>
      </c>
      <c r="BK145" s="141">
        <f>ROUND(I145*H145,2)</f>
        <v>0</v>
      </c>
      <c r="BL145" s="18" t="s">
        <v>185</v>
      </c>
      <c r="BM145" s="140" t="s">
        <v>3917</v>
      </c>
    </row>
    <row r="146" spans="2:47" s="1" customFormat="1" ht="29.25">
      <c r="B146" s="33"/>
      <c r="D146" s="142" t="s">
        <v>187</v>
      </c>
      <c r="F146" s="143" t="s">
        <v>3918</v>
      </c>
      <c r="I146" s="144"/>
      <c r="L146" s="33"/>
      <c r="M146" s="145"/>
      <c r="T146" s="54"/>
      <c r="AT146" s="18" t="s">
        <v>187</v>
      </c>
      <c r="AU146" s="18" t="s">
        <v>87</v>
      </c>
    </row>
    <row r="147" spans="2:47" s="1" customFormat="1" ht="11.25">
      <c r="B147" s="33"/>
      <c r="D147" s="146" t="s">
        <v>189</v>
      </c>
      <c r="F147" s="147" t="s">
        <v>3919</v>
      </c>
      <c r="I147" s="144"/>
      <c r="L147" s="33"/>
      <c r="M147" s="145"/>
      <c r="T147" s="54"/>
      <c r="AT147" s="18" t="s">
        <v>189</v>
      </c>
      <c r="AU147" s="18" t="s">
        <v>87</v>
      </c>
    </row>
    <row r="148" spans="2:47" s="1" customFormat="1" ht="97.5">
      <c r="B148" s="33"/>
      <c r="D148" s="142" t="s">
        <v>191</v>
      </c>
      <c r="F148" s="148" t="s">
        <v>3143</v>
      </c>
      <c r="I148" s="144"/>
      <c r="L148" s="33"/>
      <c r="M148" s="145"/>
      <c r="T148" s="54"/>
      <c r="AT148" s="18" t="s">
        <v>191</v>
      </c>
      <c r="AU148" s="18" t="s">
        <v>87</v>
      </c>
    </row>
    <row r="149" spans="2:65" s="1" customFormat="1" ht="24.2" customHeight="1">
      <c r="B149" s="128"/>
      <c r="C149" s="179" t="s">
        <v>277</v>
      </c>
      <c r="D149" s="179" t="s">
        <v>484</v>
      </c>
      <c r="E149" s="180" t="s">
        <v>3920</v>
      </c>
      <c r="F149" s="181" t="s">
        <v>3921</v>
      </c>
      <c r="G149" s="182" t="s">
        <v>236</v>
      </c>
      <c r="H149" s="183">
        <v>2</v>
      </c>
      <c r="I149" s="184"/>
      <c r="J149" s="185">
        <f>ROUND(I149*H149,2)</f>
        <v>0</v>
      </c>
      <c r="K149" s="181" t="s">
        <v>244</v>
      </c>
      <c r="L149" s="186"/>
      <c r="M149" s="187" t="s">
        <v>3</v>
      </c>
      <c r="N149" s="188" t="s">
        <v>48</v>
      </c>
      <c r="P149" s="138">
        <f>O149*H149</f>
        <v>0</v>
      </c>
      <c r="Q149" s="138">
        <v>0.007</v>
      </c>
      <c r="R149" s="138">
        <f>Q149*H149</f>
        <v>0.014</v>
      </c>
      <c r="S149" s="138">
        <v>0</v>
      </c>
      <c r="T149" s="139">
        <f>S149*H149</f>
        <v>0</v>
      </c>
      <c r="AR149" s="140" t="s">
        <v>248</v>
      </c>
      <c r="AT149" s="140" t="s">
        <v>484</v>
      </c>
      <c r="AU149" s="140" t="s">
        <v>87</v>
      </c>
      <c r="AY149" s="18" t="s">
        <v>177</v>
      </c>
      <c r="BE149" s="141">
        <f>IF(N149="základní",J149,0)</f>
        <v>0</v>
      </c>
      <c r="BF149" s="141">
        <f>IF(N149="snížená",J149,0)</f>
        <v>0</v>
      </c>
      <c r="BG149" s="141">
        <f>IF(N149="zákl. přenesená",J149,0)</f>
        <v>0</v>
      </c>
      <c r="BH149" s="141">
        <f>IF(N149="sníž. přenesená",J149,0)</f>
        <v>0</v>
      </c>
      <c r="BI149" s="141">
        <f>IF(N149="nulová",J149,0)</f>
        <v>0</v>
      </c>
      <c r="BJ149" s="18" t="s">
        <v>85</v>
      </c>
      <c r="BK149" s="141">
        <f>ROUND(I149*H149,2)</f>
        <v>0</v>
      </c>
      <c r="BL149" s="18" t="s">
        <v>185</v>
      </c>
      <c r="BM149" s="140" t="s">
        <v>3922</v>
      </c>
    </row>
    <row r="150" spans="2:47" s="1" customFormat="1" ht="11.25">
      <c r="B150" s="33"/>
      <c r="D150" s="142" t="s">
        <v>187</v>
      </c>
      <c r="F150" s="143" t="s">
        <v>3921</v>
      </c>
      <c r="I150" s="144"/>
      <c r="L150" s="33"/>
      <c r="M150" s="145"/>
      <c r="T150" s="54"/>
      <c r="AT150" s="18" t="s">
        <v>187</v>
      </c>
      <c r="AU150" s="18" t="s">
        <v>87</v>
      </c>
    </row>
    <row r="151" spans="2:65" s="1" customFormat="1" ht="16.5" customHeight="1">
      <c r="B151" s="128"/>
      <c r="C151" s="129" t="s">
        <v>283</v>
      </c>
      <c r="D151" s="129" t="s">
        <v>180</v>
      </c>
      <c r="E151" s="130" t="s">
        <v>3849</v>
      </c>
      <c r="F151" s="131" t="s">
        <v>3850</v>
      </c>
      <c r="G151" s="132" t="s">
        <v>243</v>
      </c>
      <c r="H151" s="133">
        <v>1</v>
      </c>
      <c r="I151" s="134"/>
      <c r="J151" s="135">
        <f>ROUND(I151*H151,2)</f>
        <v>0</v>
      </c>
      <c r="K151" s="131" t="s">
        <v>244</v>
      </c>
      <c r="L151" s="33"/>
      <c r="M151" s="136" t="s">
        <v>3</v>
      </c>
      <c r="N151" s="137" t="s">
        <v>48</v>
      </c>
      <c r="P151" s="138">
        <f>O151*H151</f>
        <v>0</v>
      </c>
      <c r="Q151" s="138">
        <v>0</v>
      </c>
      <c r="R151" s="138">
        <f>Q151*H151</f>
        <v>0</v>
      </c>
      <c r="S151" s="138">
        <v>0</v>
      </c>
      <c r="T151" s="139">
        <f>S151*H151</f>
        <v>0</v>
      </c>
      <c r="AR151" s="140" t="s">
        <v>237</v>
      </c>
      <c r="AT151" s="140" t="s">
        <v>180</v>
      </c>
      <c r="AU151" s="140" t="s">
        <v>87</v>
      </c>
      <c r="AY151" s="18" t="s">
        <v>177</v>
      </c>
      <c r="BE151" s="141">
        <f>IF(N151="základní",J151,0)</f>
        <v>0</v>
      </c>
      <c r="BF151" s="141">
        <f>IF(N151="snížená",J151,0)</f>
        <v>0</v>
      </c>
      <c r="BG151" s="141">
        <f>IF(N151="zákl. přenesená",J151,0)</f>
        <v>0</v>
      </c>
      <c r="BH151" s="141">
        <f>IF(N151="sníž. přenesená",J151,0)</f>
        <v>0</v>
      </c>
      <c r="BI151" s="141">
        <f>IF(N151="nulová",J151,0)</f>
        <v>0</v>
      </c>
      <c r="BJ151" s="18" t="s">
        <v>85</v>
      </c>
      <c r="BK151" s="141">
        <f>ROUND(I151*H151,2)</f>
        <v>0</v>
      </c>
      <c r="BL151" s="18" t="s">
        <v>237</v>
      </c>
      <c r="BM151" s="140" t="s">
        <v>3923</v>
      </c>
    </row>
    <row r="152" spans="2:47" s="1" customFormat="1" ht="11.25">
      <c r="B152" s="33"/>
      <c r="D152" s="142" t="s">
        <v>187</v>
      </c>
      <c r="F152" s="143" t="s">
        <v>3850</v>
      </c>
      <c r="I152" s="144"/>
      <c r="L152" s="33"/>
      <c r="M152" s="145"/>
      <c r="T152" s="54"/>
      <c r="AT152" s="18" t="s">
        <v>187</v>
      </c>
      <c r="AU152" s="18" t="s">
        <v>87</v>
      </c>
    </row>
    <row r="153" spans="2:63" s="11" customFormat="1" ht="22.9" customHeight="1">
      <c r="B153" s="116"/>
      <c r="D153" s="117" t="s">
        <v>76</v>
      </c>
      <c r="E153" s="126" t="s">
        <v>518</v>
      </c>
      <c r="F153" s="126" t="s">
        <v>519</v>
      </c>
      <c r="I153" s="119"/>
      <c r="J153" s="127">
        <f>BK153</f>
        <v>0</v>
      </c>
      <c r="L153" s="116"/>
      <c r="M153" s="121"/>
      <c r="P153" s="122">
        <f>SUM(P154:P157)</f>
        <v>0</v>
      </c>
      <c r="R153" s="122">
        <f>SUM(R154:R157)</f>
        <v>0</v>
      </c>
      <c r="T153" s="123">
        <f>SUM(T154:T157)</f>
        <v>0</v>
      </c>
      <c r="AR153" s="117" t="s">
        <v>85</v>
      </c>
      <c r="AT153" s="124" t="s">
        <v>76</v>
      </c>
      <c r="AU153" s="124" t="s">
        <v>85</v>
      </c>
      <c r="AY153" s="117" t="s">
        <v>177</v>
      </c>
      <c r="BK153" s="125">
        <f>SUM(BK154:BK157)</f>
        <v>0</v>
      </c>
    </row>
    <row r="154" spans="2:65" s="1" customFormat="1" ht="21.75" customHeight="1">
      <c r="B154" s="128"/>
      <c r="C154" s="129" t="s">
        <v>9</v>
      </c>
      <c r="D154" s="129" t="s">
        <v>180</v>
      </c>
      <c r="E154" s="130" t="s">
        <v>521</v>
      </c>
      <c r="F154" s="131" t="s">
        <v>522</v>
      </c>
      <c r="G154" s="132" t="s">
        <v>183</v>
      </c>
      <c r="H154" s="133">
        <v>4.305</v>
      </c>
      <c r="I154" s="134"/>
      <c r="J154" s="135">
        <f>ROUND(I154*H154,2)</f>
        <v>0</v>
      </c>
      <c r="K154" s="131" t="s">
        <v>184</v>
      </c>
      <c r="L154" s="33"/>
      <c r="M154" s="136" t="s">
        <v>3</v>
      </c>
      <c r="N154" s="137" t="s">
        <v>48</v>
      </c>
      <c r="P154" s="138">
        <f>O154*H154</f>
        <v>0</v>
      </c>
      <c r="Q154" s="138">
        <v>0</v>
      </c>
      <c r="R154" s="138">
        <f>Q154*H154</f>
        <v>0</v>
      </c>
      <c r="S154" s="138">
        <v>0</v>
      </c>
      <c r="T154" s="139">
        <f>S154*H154</f>
        <v>0</v>
      </c>
      <c r="AR154" s="140" t="s">
        <v>185</v>
      </c>
      <c r="AT154" s="140" t="s">
        <v>180</v>
      </c>
      <c r="AU154" s="140" t="s">
        <v>87</v>
      </c>
      <c r="AY154" s="18" t="s">
        <v>177</v>
      </c>
      <c r="BE154" s="141">
        <f>IF(N154="základní",J154,0)</f>
        <v>0</v>
      </c>
      <c r="BF154" s="141">
        <f>IF(N154="snížená",J154,0)</f>
        <v>0</v>
      </c>
      <c r="BG154" s="141">
        <f>IF(N154="zákl. přenesená",J154,0)</f>
        <v>0</v>
      </c>
      <c r="BH154" s="141">
        <f>IF(N154="sníž. přenesená",J154,0)</f>
        <v>0</v>
      </c>
      <c r="BI154" s="141">
        <f>IF(N154="nulová",J154,0)</f>
        <v>0</v>
      </c>
      <c r="BJ154" s="18" t="s">
        <v>85</v>
      </c>
      <c r="BK154" s="141">
        <f>ROUND(I154*H154,2)</f>
        <v>0</v>
      </c>
      <c r="BL154" s="18" t="s">
        <v>185</v>
      </c>
      <c r="BM154" s="140" t="s">
        <v>3924</v>
      </c>
    </row>
    <row r="155" spans="2:47" s="1" customFormat="1" ht="39">
      <c r="B155" s="33"/>
      <c r="D155" s="142" t="s">
        <v>187</v>
      </c>
      <c r="F155" s="143" t="s">
        <v>524</v>
      </c>
      <c r="I155" s="144"/>
      <c r="L155" s="33"/>
      <c r="M155" s="145"/>
      <c r="T155" s="54"/>
      <c r="AT155" s="18" t="s">
        <v>187</v>
      </c>
      <c r="AU155" s="18" t="s">
        <v>87</v>
      </c>
    </row>
    <row r="156" spans="2:47" s="1" customFormat="1" ht="11.25">
      <c r="B156" s="33"/>
      <c r="D156" s="146" t="s">
        <v>189</v>
      </c>
      <c r="F156" s="147" t="s">
        <v>525</v>
      </c>
      <c r="I156" s="144"/>
      <c r="L156" s="33"/>
      <c r="M156" s="145"/>
      <c r="T156" s="54"/>
      <c r="AT156" s="18" t="s">
        <v>189</v>
      </c>
      <c r="AU156" s="18" t="s">
        <v>87</v>
      </c>
    </row>
    <row r="157" spans="2:47" s="1" customFormat="1" ht="87.75">
      <c r="B157" s="33"/>
      <c r="D157" s="142" t="s">
        <v>191</v>
      </c>
      <c r="F157" s="148" t="s">
        <v>526</v>
      </c>
      <c r="I157" s="144"/>
      <c r="L157" s="33"/>
      <c r="M157" s="145"/>
      <c r="T157" s="54"/>
      <c r="AT157" s="18" t="s">
        <v>191</v>
      </c>
      <c r="AU157" s="18" t="s">
        <v>87</v>
      </c>
    </row>
    <row r="158" spans="2:63" s="11" customFormat="1" ht="25.9" customHeight="1">
      <c r="B158" s="116"/>
      <c r="D158" s="117" t="s">
        <v>76</v>
      </c>
      <c r="E158" s="118" t="s">
        <v>229</v>
      </c>
      <c r="F158" s="118" t="s">
        <v>230</v>
      </c>
      <c r="I158" s="119"/>
      <c r="J158" s="120">
        <f>BK158</f>
        <v>0</v>
      </c>
      <c r="L158" s="116"/>
      <c r="M158" s="121"/>
      <c r="P158" s="122">
        <f>P159+P247+P327+P404+P425+P428</f>
        <v>0</v>
      </c>
      <c r="R158" s="122">
        <f>R159+R247+R327+R404+R425+R428</f>
        <v>1.3989181684000005</v>
      </c>
      <c r="T158" s="123">
        <f>T159+T247+T327+T404+T425+T428</f>
        <v>0.0018000000000000002</v>
      </c>
      <c r="AR158" s="117" t="s">
        <v>87</v>
      </c>
      <c r="AT158" s="124" t="s">
        <v>76</v>
      </c>
      <c r="AU158" s="124" t="s">
        <v>77</v>
      </c>
      <c r="AY158" s="117" t="s">
        <v>177</v>
      </c>
      <c r="BK158" s="125">
        <f>BK159+BK247+BK327+BK404+BK425+BK428</f>
        <v>0</v>
      </c>
    </row>
    <row r="159" spans="2:63" s="11" customFormat="1" ht="22.9" customHeight="1">
      <c r="B159" s="116"/>
      <c r="D159" s="117" t="s">
        <v>76</v>
      </c>
      <c r="E159" s="126" t="s">
        <v>231</v>
      </c>
      <c r="F159" s="126" t="s">
        <v>232</v>
      </c>
      <c r="I159" s="119"/>
      <c r="J159" s="127">
        <f>BK159</f>
        <v>0</v>
      </c>
      <c r="L159" s="116"/>
      <c r="M159" s="121"/>
      <c r="P159" s="122">
        <f>SUM(P160:P246)</f>
        <v>0</v>
      </c>
      <c r="R159" s="122">
        <f>SUM(R160:R246)</f>
        <v>0.3865051200000001</v>
      </c>
      <c r="T159" s="123">
        <f>SUM(T160:T246)</f>
        <v>0</v>
      </c>
      <c r="AR159" s="117" t="s">
        <v>87</v>
      </c>
      <c r="AT159" s="124" t="s">
        <v>76</v>
      </c>
      <c r="AU159" s="124" t="s">
        <v>85</v>
      </c>
      <c r="AY159" s="117" t="s">
        <v>177</v>
      </c>
      <c r="BK159" s="125">
        <f>SUM(BK160:BK246)</f>
        <v>0</v>
      </c>
    </row>
    <row r="160" spans="2:65" s="1" customFormat="1" ht="21.75" customHeight="1">
      <c r="B160" s="128"/>
      <c r="C160" s="129" t="s">
        <v>237</v>
      </c>
      <c r="D160" s="129" t="s">
        <v>180</v>
      </c>
      <c r="E160" s="130" t="s">
        <v>3925</v>
      </c>
      <c r="F160" s="131" t="s">
        <v>3926</v>
      </c>
      <c r="G160" s="132" t="s">
        <v>476</v>
      </c>
      <c r="H160" s="133">
        <v>14.8</v>
      </c>
      <c r="I160" s="134"/>
      <c r="J160" s="135">
        <f>ROUND(I160*H160,2)</f>
        <v>0</v>
      </c>
      <c r="K160" s="131" t="s">
        <v>184</v>
      </c>
      <c r="L160" s="33"/>
      <c r="M160" s="136" t="s">
        <v>3</v>
      </c>
      <c r="N160" s="137" t="s">
        <v>48</v>
      </c>
      <c r="P160" s="138">
        <f>O160*H160</f>
        <v>0</v>
      </c>
      <c r="Q160" s="138">
        <v>0.01232225</v>
      </c>
      <c r="R160" s="138">
        <f>Q160*H160</f>
        <v>0.1823693</v>
      </c>
      <c r="S160" s="138">
        <v>0</v>
      </c>
      <c r="T160" s="139">
        <f>S160*H160</f>
        <v>0</v>
      </c>
      <c r="AR160" s="140" t="s">
        <v>237</v>
      </c>
      <c r="AT160" s="140" t="s">
        <v>180</v>
      </c>
      <c r="AU160" s="140" t="s">
        <v>87</v>
      </c>
      <c r="AY160" s="18" t="s">
        <v>177</v>
      </c>
      <c r="BE160" s="141">
        <f>IF(N160="základní",J160,0)</f>
        <v>0</v>
      </c>
      <c r="BF160" s="141">
        <f>IF(N160="snížená",J160,0)</f>
        <v>0</v>
      </c>
      <c r="BG160" s="141">
        <f>IF(N160="zákl. přenesená",J160,0)</f>
        <v>0</v>
      </c>
      <c r="BH160" s="141">
        <f>IF(N160="sníž. přenesená",J160,0)</f>
        <v>0</v>
      </c>
      <c r="BI160" s="141">
        <f>IF(N160="nulová",J160,0)</f>
        <v>0</v>
      </c>
      <c r="BJ160" s="18" t="s">
        <v>85</v>
      </c>
      <c r="BK160" s="141">
        <f>ROUND(I160*H160,2)</f>
        <v>0</v>
      </c>
      <c r="BL160" s="18" t="s">
        <v>237</v>
      </c>
      <c r="BM160" s="140" t="s">
        <v>3927</v>
      </c>
    </row>
    <row r="161" spans="2:47" s="1" customFormat="1" ht="11.25">
      <c r="B161" s="33"/>
      <c r="D161" s="142" t="s">
        <v>187</v>
      </c>
      <c r="F161" s="143" t="s">
        <v>3928</v>
      </c>
      <c r="I161" s="144"/>
      <c r="L161" s="33"/>
      <c r="M161" s="145"/>
      <c r="T161" s="54"/>
      <c r="AT161" s="18" t="s">
        <v>187</v>
      </c>
      <c r="AU161" s="18" t="s">
        <v>87</v>
      </c>
    </row>
    <row r="162" spans="2:47" s="1" customFormat="1" ht="11.25">
      <c r="B162" s="33"/>
      <c r="D162" s="146" t="s">
        <v>189</v>
      </c>
      <c r="F162" s="147" t="s">
        <v>3929</v>
      </c>
      <c r="I162" s="144"/>
      <c r="L162" s="33"/>
      <c r="M162" s="145"/>
      <c r="T162" s="54"/>
      <c r="AT162" s="18" t="s">
        <v>189</v>
      </c>
      <c r="AU162" s="18" t="s">
        <v>87</v>
      </c>
    </row>
    <row r="163" spans="2:47" s="1" customFormat="1" ht="39">
      <c r="B163" s="33"/>
      <c r="D163" s="142" t="s">
        <v>191</v>
      </c>
      <c r="F163" s="148" t="s">
        <v>3930</v>
      </c>
      <c r="I163" s="144"/>
      <c r="L163" s="33"/>
      <c r="M163" s="145"/>
      <c r="T163" s="54"/>
      <c r="AT163" s="18" t="s">
        <v>191</v>
      </c>
      <c r="AU163" s="18" t="s">
        <v>87</v>
      </c>
    </row>
    <row r="164" spans="2:51" s="12" customFormat="1" ht="11.25">
      <c r="B164" s="149"/>
      <c r="D164" s="142" t="s">
        <v>193</v>
      </c>
      <c r="E164" s="150" t="s">
        <v>3</v>
      </c>
      <c r="F164" s="151" t="s">
        <v>3931</v>
      </c>
      <c r="H164" s="152">
        <v>14.8</v>
      </c>
      <c r="I164" s="153"/>
      <c r="L164" s="149"/>
      <c r="M164" s="154"/>
      <c r="T164" s="155"/>
      <c r="AT164" s="150" t="s">
        <v>193</v>
      </c>
      <c r="AU164" s="150" t="s">
        <v>87</v>
      </c>
      <c r="AV164" s="12" t="s">
        <v>87</v>
      </c>
      <c r="AW164" s="12" t="s">
        <v>36</v>
      </c>
      <c r="AX164" s="12" t="s">
        <v>85</v>
      </c>
      <c r="AY164" s="150" t="s">
        <v>177</v>
      </c>
    </row>
    <row r="165" spans="2:65" s="1" customFormat="1" ht="16.5" customHeight="1">
      <c r="B165" s="128"/>
      <c r="C165" s="129" t="s">
        <v>302</v>
      </c>
      <c r="D165" s="129" t="s">
        <v>180</v>
      </c>
      <c r="E165" s="130" t="s">
        <v>3932</v>
      </c>
      <c r="F165" s="131" t="s">
        <v>3933</v>
      </c>
      <c r="G165" s="132" t="s">
        <v>476</v>
      </c>
      <c r="H165" s="133">
        <v>2</v>
      </c>
      <c r="I165" s="134"/>
      <c r="J165" s="135">
        <f>ROUND(I165*H165,2)</f>
        <v>0</v>
      </c>
      <c r="K165" s="131" t="s">
        <v>184</v>
      </c>
      <c r="L165" s="33"/>
      <c r="M165" s="136" t="s">
        <v>3</v>
      </c>
      <c r="N165" s="137" t="s">
        <v>48</v>
      </c>
      <c r="P165" s="138">
        <f>O165*H165</f>
        <v>0</v>
      </c>
      <c r="Q165" s="138">
        <v>0.0007129</v>
      </c>
      <c r="R165" s="138">
        <f>Q165*H165</f>
        <v>0.0014258</v>
      </c>
      <c r="S165" s="138">
        <v>0</v>
      </c>
      <c r="T165" s="139">
        <f>S165*H165</f>
        <v>0</v>
      </c>
      <c r="AR165" s="140" t="s">
        <v>237</v>
      </c>
      <c r="AT165" s="140" t="s">
        <v>180</v>
      </c>
      <c r="AU165" s="140" t="s">
        <v>87</v>
      </c>
      <c r="AY165" s="18" t="s">
        <v>177</v>
      </c>
      <c r="BE165" s="141">
        <f>IF(N165="základní",J165,0)</f>
        <v>0</v>
      </c>
      <c r="BF165" s="141">
        <f>IF(N165="snížená",J165,0)</f>
        <v>0</v>
      </c>
      <c r="BG165" s="141">
        <f>IF(N165="zákl. přenesená",J165,0)</f>
        <v>0</v>
      </c>
      <c r="BH165" s="141">
        <f>IF(N165="sníž. přenesená",J165,0)</f>
        <v>0</v>
      </c>
      <c r="BI165" s="141">
        <f>IF(N165="nulová",J165,0)</f>
        <v>0</v>
      </c>
      <c r="BJ165" s="18" t="s">
        <v>85</v>
      </c>
      <c r="BK165" s="141">
        <f>ROUND(I165*H165,2)</f>
        <v>0</v>
      </c>
      <c r="BL165" s="18" t="s">
        <v>237</v>
      </c>
      <c r="BM165" s="140" t="s">
        <v>3934</v>
      </c>
    </row>
    <row r="166" spans="2:47" s="1" customFormat="1" ht="11.25">
      <c r="B166" s="33"/>
      <c r="D166" s="142" t="s">
        <v>187</v>
      </c>
      <c r="F166" s="143" t="s">
        <v>3935</v>
      </c>
      <c r="I166" s="144"/>
      <c r="L166" s="33"/>
      <c r="M166" s="145"/>
      <c r="T166" s="54"/>
      <c r="AT166" s="18" t="s">
        <v>187</v>
      </c>
      <c r="AU166" s="18" t="s">
        <v>87</v>
      </c>
    </row>
    <row r="167" spans="2:47" s="1" customFormat="1" ht="11.25">
      <c r="B167" s="33"/>
      <c r="D167" s="146" t="s">
        <v>189</v>
      </c>
      <c r="F167" s="147" t="s">
        <v>3936</v>
      </c>
      <c r="I167" s="144"/>
      <c r="L167" s="33"/>
      <c r="M167" s="145"/>
      <c r="T167" s="54"/>
      <c r="AT167" s="18" t="s">
        <v>189</v>
      </c>
      <c r="AU167" s="18" t="s">
        <v>87</v>
      </c>
    </row>
    <row r="168" spans="2:47" s="1" customFormat="1" ht="68.25">
      <c r="B168" s="33"/>
      <c r="D168" s="142" t="s">
        <v>191</v>
      </c>
      <c r="F168" s="148" t="s">
        <v>3937</v>
      </c>
      <c r="I168" s="144"/>
      <c r="L168" s="33"/>
      <c r="M168" s="145"/>
      <c r="T168" s="54"/>
      <c r="AT168" s="18" t="s">
        <v>191</v>
      </c>
      <c r="AU168" s="18" t="s">
        <v>87</v>
      </c>
    </row>
    <row r="169" spans="2:65" s="1" customFormat="1" ht="16.5" customHeight="1">
      <c r="B169" s="128"/>
      <c r="C169" s="129" t="s">
        <v>315</v>
      </c>
      <c r="D169" s="129" t="s">
        <v>180</v>
      </c>
      <c r="E169" s="130" t="s">
        <v>3938</v>
      </c>
      <c r="F169" s="131" t="s">
        <v>3939</v>
      </c>
      <c r="G169" s="132" t="s">
        <v>476</v>
      </c>
      <c r="H169" s="133">
        <v>9.55</v>
      </c>
      <c r="I169" s="134"/>
      <c r="J169" s="135">
        <f>ROUND(I169*H169,2)</f>
        <v>0</v>
      </c>
      <c r="K169" s="131" t="s">
        <v>184</v>
      </c>
      <c r="L169" s="33"/>
      <c r="M169" s="136" t="s">
        <v>3</v>
      </c>
      <c r="N169" s="137" t="s">
        <v>48</v>
      </c>
      <c r="P169" s="138">
        <f>O169*H169</f>
        <v>0</v>
      </c>
      <c r="Q169" s="138">
        <v>0.0015535</v>
      </c>
      <c r="R169" s="138">
        <f>Q169*H169</f>
        <v>0.014835925000000002</v>
      </c>
      <c r="S169" s="138">
        <v>0</v>
      </c>
      <c r="T169" s="139">
        <f>S169*H169</f>
        <v>0</v>
      </c>
      <c r="AR169" s="140" t="s">
        <v>237</v>
      </c>
      <c r="AT169" s="140" t="s">
        <v>180</v>
      </c>
      <c r="AU169" s="140" t="s">
        <v>87</v>
      </c>
      <c r="AY169" s="18" t="s">
        <v>177</v>
      </c>
      <c r="BE169" s="141">
        <f>IF(N169="základní",J169,0)</f>
        <v>0</v>
      </c>
      <c r="BF169" s="141">
        <f>IF(N169="snížená",J169,0)</f>
        <v>0</v>
      </c>
      <c r="BG169" s="141">
        <f>IF(N169="zákl. přenesená",J169,0)</f>
        <v>0</v>
      </c>
      <c r="BH169" s="141">
        <f>IF(N169="sníž. přenesená",J169,0)</f>
        <v>0</v>
      </c>
      <c r="BI169" s="141">
        <f>IF(N169="nulová",J169,0)</f>
        <v>0</v>
      </c>
      <c r="BJ169" s="18" t="s">
        <v>85</v>
      </c>
      <c r="BK169" s="141">
        <f>ROUND(I169*H169,2)</f>
        <v>0</v>
      </c>
      <c r="BL169" s="18" t="s">
        <v>237</v>
      </c>
      <c r="BM169" s="140" t="s">
        <v>3940</v>
      </c>
    </row>
    <row r="170" spans="2:47" s="1" customFormat="1" ht="11.25">
      <c r="B170" s="33"/>
      <c r="D170" s="142" t="s">
        <v>187</v>
      </c>
      <c r="F170" s="143" t="s">
        <v>3941</v>
      </c>
      <c r="I170" s="144"/>
      <c r="L170" s="33"/>
      <c r="M170" s="145"/>
      <c r="T170" s="54"/>
      <c r="AT170" s="18" t="s">
        <v>187</v>
      </c>
      <c r="AU170" s="18" t="s">
        <v>87</v>
      </c>
    </row>
    <row r="171" spans="2:47" s="1" customFormat="1" ht="11.25">
      <c r="B171" s="33"/>
      <c r="D171" s="146" t="s">
        <v>189</v>
      </c>
      <c r="F171" s="147" t="s">
        <v>3942</v>
      </c>
      <c r="I171" s="144"/>
      <c r="L171" s="33"/>
      <c r="M171" s="145"/>
      <c r="T171" s="54"/>
      <c r="AT171" s="18" t="s">
        <v>189</v>
      </c>
      <c r="AU171" s="18" t="s">
        <v>87</v>
      </c>
    </row>
    <row r="172" spans="2:47" s="1" customFormat="1" ht="68.25">
      <c r="B172" s="33"/>
      <c r="D172" s="142" t="s">
        <v>191</v>
      </c>
      <c r="F172" s="148" t="s">
        <v>3937</v>
      </c>
      <c r="I172" s="144"/>
      <c r="L172" s="33"/>
      <c r="M172" s="145"/>
      <c r="T172" s="54"/>
      <c r="AT172" s="18" t="s">
        <v>191</v>
      </c>
      <c r="AU172" s="18" t="s">
        <v>87</v>
      </c>
    </row>
    <row r="173" spans="2:65" s="1" customFormat="1" ht="16.5" customHeight="1">
      <c r="B173" s="128"/>
      <c r="C173" s="129" t="s">
        <v>461</v>
      </c>
      <c r="D173" s="129" t="s">
        <v>180</v>
      </c>
      <c r="E173" s="130" t="s">
        <v>3943</v>
      </c>
      <c r="F173" s="131" t="s">
        <v>3944</v>
      </c>
      <c r="G173" s="132" t="s">
        <v>476</v>
      </c>
      <c r="H173" s="133">
        <v>32.35</v>
      </c>
      <c r="I173" s="134"/>
      <c r="J173" s="135">
        <f>ROUND(I173*H173,2)</f>
        <v>0</v>
      </c>
      <c r="K173" s="131" t="s">
        <v>184</v>
      </c>
      <c r="L173" s="33"/>
      <c r="M173" s="136" t="s">
        <v>3</v>
      </c>
      <c r="N173" s="137" t="s">
        <v>48</v>
      </c>
      <c r="P173" s="138">
        <f>O173*H173</f>
        <v>0</v>
      </c>
      <c r="Q173" s="138">
        <v>0.0019095</v>
      </c>
      <c r="R173" s="138">
        <f>Q173*H173</f>
        <v>0.061772325</v>
      </c>
      <c r="S173" s="138">
        <v>0</v>
      </c>
      <c r="T173" s="139">
        <f>S173*H173</f>
        <v>0</v>
      </c>
      <c r="AR173" s="140" t="s">
        <v>237</v>
      </c>
      <c r="AT173" s="140" t="s">
        <v>180</v>
      </c>
      <c r="AU173" s="140" t="s">
        <v>87</v>
      </c>
      <c r="AY173" s="18" t="s">
        <v>177</v>
      </c>
      <c r="BE173" s="141">
        <f>IF(N173="základní",J173,0)</f>
        <v>0</v>
      </c>
      <c r="BF173" s="141">
        <f>IF(N173="snížená",J173,0)</f>
        <v>0</v>
      </c>
      <c r="BG173" s="141">
        <f>IF(N173="zákl. přenesená",J173,0)</f>
        <v>0</v>
      </c>
      <c r="BH173" s="141">
        <f>IF(N173="sníž. přenesená",J173,0)</f>
        <v>0</v>
      </c>
      <c r="BI173" s="141">
        <f>IF(N173="nulová",J173,0)</f>
        <v>0</v>
      </c>
      <c r="BJ173" s="18" t="s">
        <v>85</v>
      </c>
      <c r="BK173" s="141">
        <f>ROUND(I173*H173,2)</f>
        <v>0</v>
      </c>
      <c r="BL173" s="18" t="s">
        <v>237</v>
      </c>
      <c r="BM173" s="140" t="s">
        <v>3945</v>
      </c>
    </row>
    <row r="174" spans="2:47" s="1" customFormat="1" ht="11.25">
      <c r="B174" s="33"/>
      <c r="D174" s="142" t="s">
        <v>187</v>
      </c>
      <c r="F174" s="143" t="s">
        <v>3946</v>
      </c>
      <c r="I174" s="144"/>
      <c r="L174" s="33"/>
      <c r="M174" s="145"/>
      <c r="T174" s="54"/>
      <c r="AT174" s="18" t="s">
        <v>187</v>
      </c>
      <c r="AU174" s="18" t="s">
        <v>87</v>
      </c>
    </row>
    <row r="175" spans="2:47" s="1" customFormat="1" ht="11.25">
      <c r="B175" s="33"/>
      <c r="D175" s="146" t="s">
        <v>189</v>
      </c>
      <c r="F175" s="147" t="s">
        <v>3947</v>
      </c>
      <c r="I175" s="144"/>
      <c r="L175" s="33"/>
      <c r="M175" s="145"/>
      <c r="T175" s="54"/>
      <c r="AT175" s="18" t="s">
        <v>189</v>
      </c>
      <c r="AU175" s="18" t="s">
        <v>87</v>
      </c>
    </row>
    <row r="176" spans="2:47" s="1" customFormat="1" ht="68.25">
      <c r="B176" s="33"/>
      <c r="D176" s="142" t="s">
        <v>191</v>
      </c>
      <c r="F176" s="148" t="s">
        <v>3937</v>
      </c>
      <c r="I176" s="144"/>
      <c r="L176" s="33"/>
      <c r="M176" s="145"/>
      <c r="T176" s="54"/>
      <c r="AT176" s="18" t="s">
        <v>191</v>
      </c>
      <c r="AU176" s="18" t="s">
        <v>87</v>
      </c>
    </row>
    <row r="177" spans="2:65" s="1" customFormat="1" ht="16.5" customHeight="1">
      <c r="B177" s="128"/>
      <c r="C177" s="129" t="s">
        <v>467</v>
      </c>
      <c r="D177" s="129" t="s">
        <v>180</v>
      </c>
      <c r="E177" s="130" t="s">
        <v>3948</v>
      </c>
      <c r="F177" s="131" t="s">
        <v>3949</v>
      </c>
      <c r="G177" s="132" t="s">
        <v>476</v>
      </c>
      <c r="H177" s="133">
        <v>8.1</v>
      </c>
      <c r="I177" s="134"/>
      <c r="J177" s="135">
        <f>ROUND(I177*H177,2)</f>
        <v>0</v>
      </c>
      <c r="K177" s="131" t="s">
        <v>184</v>
      </c>
      <c r="L177" s="33"/>
      <c r="M177" s="136" t="s">
        <v>3</v>
      </c>
      <c r="N177" s="137" t="s">
        <v>48</v>
      </c>
      <c r="P177" s="138">
        <f>O177*H177</f>
        <v>0</v>
      </c>
      <c r="Q177" s="138">
        <v>0.0005868</v>
      </c>
      <c r="R177" s="138">
        <f>Q177*H177</f>
        <v>0.00475308</v>
      </c>
      <c r="S177" s="138">
        <v>0</v>
      </c>
      <c r="T177" s="139">
        <f>S177*H177</f>
        <v>0</v>
      </c>
      <c r="AR177" s="140" t="s">
        <v>237</v>
      </c>
      <c r="AT177" s="140" t="s">
        <v>180</v>
      </c>
      <c r="AU177" s="140" t="s">
        <v>87</v>
      </c>
      <c r="AY177" s="18" t="s">
        <v>177</v>
      </c>
      <c r="BE177" s="141">
        <f>IF(N177="základní",J177,0)</f>
        <v>0</v>
      </c>
      <c r="BF177" s="141">
        <f>IF(N177="snížená",J177,0)</f>
        <v>0</v>
      </c>
      <c r="BG177" s="141">
        <f>IF(N177="zákl. přenesená",J177,0)</f>
        <v>0</v>
      </c>
      <c r="BH177" s="141">
        <f>IF(N177="sníž. přenesená",J177,0)</f>
        <v>0</v>
      </c>
      <c r="BI177" s="141">
        <f>IF(N177="nulová",J177,0)</f>
        <v>0</v>
      </c>
      <c r="BJ177" s="18" t="s">
        <v>85</v>
      </c>
      <c r="BK177" s="141">
        <f>ROUND(I177*H177,2)</f>
        <v>0</v>
      </c>
      <c r="BL177" s="18" t="s">
        <v>237</v>
      </c>
      <c r="BM177" s="140" t="s">
        <v>3950</v>
      </c>
    </row>
    <row r="178" spans="2:47" s="1" customFormat="1" ht="11.25">
      <c r="B178" s="33"/>
      <c r="D178" s="142" t="s">
        <v>187</v>
      </c>
      <c r="F178" s="143" t="s">
        <v>3951</v>
      </c>
      <c r="I178" s="144"/>
      <c r="L178" s="33"/>
      <c r="M178" s="145"/>
      <c r="T178" s="54"/>
      <c r="AT178" s="18" t="s">
        <v>187</v>
      </c>
      <c r="AU178" s="18" t="s">
        <v>87</v>
      </c>
    </row>
    <row r="179" spans="2:47" s="1" customFormat="1" ht="11.25">
      <c r="B179" s="33"/>
      <c r="D179" s="146" t="s">
        <v>189</v>
      </c>
      <c r="F179" s="147" t="s">
        <v>3952</v>
      </c>
      <c r="I179" s="144"/>
      <c r="L179" s="33"/>
      <c r="M179" s="145"/>
      <c r="T179" s="54"/>
      <c r="AT179" s="18" t="s">
        <v>189</v>
      </c>
      <c r="AU179" s="18" t="s">
        <v>87</v>
      </c>
    </row>
    <row r="180" spans="2:47" s="1" customFormat="1" ht="68.25">
      <c r="B180" s="33"/>
      <c r="D180" s="142" t="s">
        <v>191</v>
      </c>
      <c r="F180" s="148" t="s">
        <v>3937</v>
      </c>
      <c r="I180" s="144"/>
      <c r="L180" s="33"/>
      <c r="M180" s="145"/>
      <c r="T180" s="54"/>
      <c r="AT180" s="18" t="s">
        <v>191</v>
      </c>
      <c r="AU180" s="18" t="s">
        <v>87</v>
      </c>
    </row>
    <row r="181" spans="2:65" s="1" customFormat="1" ht="16.5" customHeight="1">
      <c r="B181" s="128"/>
      <c r="C181" s="129" t="s">
        <v>8</v>
      </c>
      <c r="D181" s="129" t="s">
        <v>180</v>
      </c>
      <c r="E181" s="130" t="s">
        <v>3953</v>
      </c>
      <c r="F181" s="131" t="s">
        <v>3954</v>
      </c>
      <c r="G181" s="132" t="s">
        <v>476</v>
      </c>
      <c r="H181" s="133">
        <v>4.45</v>
      </c>
      <c r="I181" s="134"/>
      <c r="J181" s="135">
        <f>ROUND(I181*H181,2)</f>
        <v>0</v>
      </c>
      <c r="K181" s="131" t="s">
        <v>184</v>
      </c>
      <c r="L181" s="33"/>
      <c r="M181" s="136" t="s">
        <v>3</v>
      </c>
      <c r="N181" s="137" t="s">
        <v>48</v>
      </c>
      <c r="P181" s="138">
        <f>O181*H181</f>
        <v>0</v>
      </c>
      <c r="Q181" s="138">
        <v>0.0020099</v>
      </c>
      <c r="R181" s="138">
        <f>Q181*H181</f>
        <v>0.008944055</v>
      </c>
      <c r="S181" s="138">
        <v>0</v>
      </c>
      <c r="T181" s="139">
        <f>S181*H181</f>
        <v>0</v>
      </c>
      <c r="AR181" s="140" t="s">
        <v>237</v>
      </c>
      <c r="AT181" s="140" t="s">
        <v>180</v>
      </c>
      <c r="AU181" s="140" t="s">
        <v>87</v>
      </c>
      <c r="AY181" s="18" t="s">
        <v>177</v>
      </c>
      <c r="BE181" s="141">
        <f>IF(N181="základní",J181,0)</f>
        <v>0</v>
      </c>
      <c r="BF181" s="141">
        <f>IF(N181="snížená",J181,0)</f>
        <v>0</v>
      </c>
      <c r="BG181" s="141">
        <f>IF(N181="zákl. přenesená",J181,0)</f>
        <v>0</v>
      </c>
      <c r="BH181" s="141">
        <f>IF(N181="sníž. přenesená",J181,0)</f>
        <v>0</v>
      </c>
      <c r="BI181" s="141">
        <f>IF(N181="nulová",J181,0)</f>
        <v>0</v>
      </c>
      <c r="BJ181" s="18" t="s">
        <v>85</v>
      </c>
      <c r="BK181" s="141">
        <f>ROUND(I181*H181,2)</f>
        <v>0</v>
      </c>
      <c r="BL181" s="18" t="s">
        <v>237</v>
      </c>
      <c r="BM181" s="140" t="s">
        <v>3955</v>
      </c>
    </row>
    <row r="182" spans="2:47" s="1" customFormat="1" ht="11.25">
      <c r="B182" s="33"/>
      <c r="D182" s="142" t="s">
        <v>187</v>
      </c>
      <c r="F182" s="143" t="s">
        <v>3956</v>
      </c>
      <c r="I182" s="144"/>
      <c r="L182" s="33"/>
      <c r="M182" s="145"/>
      <c r="T182" s="54"/>
      <c r="AT182" s="18" t="s">
        <v>187</v>
      </c>
      <c r="AU182" s="18" t="s">
        <v>87</v>
      </c>
    </row>
    <row r="183" spans="2:47" s="1" customFormat="1" ht="11.25">
      <c r="B183" s="33"/>
      <c r="D183" s="146" t="s">
        <v>189</v>
      </c>
      <c r="F183" s="147" t="s">
        <v>3957</v>
      </c>
      <c r="I183" s="144"/>
      <c r="L183" s="33"/>
      <c r="M183" s="145"/>
      <c r="T183" s="54"/>
      <c r="AT183" s="18" t="s">
        <v>189</v>
      </c>
      <c r="AU183" s="18" t="s">
        <v>87</v>
      </c>
    </row>
    <row r="184" spans="2:47" s="1" customFormat="1" ht="68.25">
      <c r="B184" s="33"/>
      <c r="D184" s="142" t="s">
        <v>191</v>
      </c>
      <c r="F184" s="148" t="s">
        <v>3937</v>
      </c>
      <c r="I184" s="144"/>
      <c r="L184" s="33"/>
      <c r="M184" s="145"/>
      <c r="T184" s="54"/>
      <c r="AT184" s="18" t="s">
        <v>191</v>
      </c>
      <c r="AU184" s="18" t="s">
        <v>87</v>
      </c>
    </row>
    <row r="185" spans="2:65" s="1" customFormat="1" ht="16.5" customHeight="1">
      <c r="B185" s="128"/>
      <c r="C185" s="129" t="s">
        <v>483</v>
      </c>
      <c r="D185" s="129" t="s">
        <v>180</v>
      </c>
      <c r="E185" s="130" t="s">
        <v>3958</v>
      </c>
      <c r="F185" s="131" t="s">
        <v>3959</v>
      </c>
      <c r="G185" s="132" t="s">
        <v>476</v>
      </c>
      <c r="H185" s="133">
        <v>4.45</v>
      </c>
      <c r="I185" s="134"/>
      <c r="J185" s="135">
        <f>ROUND(I185*H185,2)</f>
        <v>0</v>
      </c>
      <c r="K185" s="131" t="s">
        <v>184</v>
      </c>
      <c r="L185" s="33"/>
      <c r="M185" s="136" t="s">
        <v>3</v>
      </c>
      <c r="N185" s="137" t="s">
        <v>48</v>
      </c>
      <c r="P185" s="138">
        <f>O185*H185</f>
        <v>0</v>
      </c>
      <c r="Q185" s="138">
        <v>0.001451</v>
      </c>
      <c r="R185" s="138">
        <f>Q185*H185</f>
        <v>0.00645695</v>
      </c>
      <c r="S185" s="138">
        <v>0</v>
      </c>
      <c r="T185" s="139">
        <f>S185*H185</f>
        <v>0</v>
      </c>
      <c r="AR185" s="140" t="s">
        <v>237</v>
      </c>
      <c r="AT185" s="140" t="s">
        <v>180</v>
      </c>
      <c r="AU185" s="140" t="s">
        <v>87</v>
      </c>
      <c r="AY185" s="18" t="s">
        <v>177</v>
      </c>
      <c r="BE185" s="141">
        <f>IF(N185="základní",J185,0)</f>
        <v>0</v>
      </c>
      <c r="BF185" s="141">
        <f>IF(N185="snížená",J185,0)</f>
        <v>0</v>
      </c>
      <c r="BG185" s="141">
        <f>IF(N185="zákl. přenesená",J185,0)</f>
        <v>0</v>
      </c>
      <c r="BH185" s="141">
        <f>IF(N185="sníž. přenesená",J185,0)</f>
        <v>0</v>
      </c>
      <c r="BI185" s="141">
        <f>IF(N185="nulová",J185,0)</f>
        <v>0</v>
      </c>
      <c r="BJ185" s="18" t="s">
        <v>85</v>
      </c>
      <c r="BK185" s="141">
        <f>ROUND(I185*H185,2)</f>
        <v>0</v>
      </c>
      <c r="BL185" s="18" t="s">
        <v>237</v>
      </c>
      <c r="BM185" s="140" t="s">
        <v>3960</v>
      </c>
    </row>
    <row r="186" spans="2:47" s="1" customFormat="1" ht="11.25">
      <c r="B186" s="33"/>
      <c r="D186" s="142" t="s">
        <v>187</v>
      </c>
      <c r="F186" s="143" t="s">
        <v>3961</v>
      </c>
      <c r="I186" s="144"/>
      <c r="L186" s="33"/>
      <c r="M186" s="145"/>
      <c r="T186" s="54"/>
      <c r="AT186" s="18" t="s">
        <v>187</v>
      </c>
      <c r="AU186" s="18" t="s">
        <v>87</v>
      </c>
    </row>
    <row r="187" spans="2:47" s="1" customFormat="1" ht="11.25">
      <c r="B187" s="33"/>
      <c r="D187" s="146" t="s">
        <v>189</v>
      </c>
      <c r="F187" s="147" t="s">
        <v>3962</v>
      </c>
      <c r="I187" s="144"/>
      <c r="L187" s="33"/>
      <c r="M187" s="145"/>
      <c r="T187" s="54"/>
      <c r="AT187" s="18" t="s">
        <v>189</v>
      </c>
      <c r="AU187" s="18" t="s">
        <v>87</v>
      </c>
    </row>
    <row r="188" spans="2:47" s="1" customFormat="1" ht="68.25">
      <c r="B188" s="33"/>
      <c r="D188" s="142" t="s">
        <v>191</v>
      </c>
      <c r="F188" s="148" t="s">
        <v>3937</v>
      </c>
      <c r="I188" s="144"/>
      <c r="L188" s="33"/>
      <c r="M188" s="145"/>
      <c r="T188" s="54"/>
      <c r="AT188" s="18" t="s">
        <v>191</v>
      </c>
      <c r="AU188" s="18" t="s">
        <v>87</v>
      </c>
    </row>
    <row r="189" spans="2:65" s="1" customFormat="1" ht="16.5" customHeight="1">
      <c r="B189" s="128"/>
      <c r="C189" s="129" t="s">
        <v>490</v>
      </c>
      <c r="D189" s="129" t="s">
        <v>180</v>
      </c>
      <c r="E189" s="130" t="s">
        <v>3963</v>
      </c>
      <c r="F189" s="131" t="s">
        <v>3964</v>
      </c>
      <c r="G189" s="132" t="s">
        <v>476</v>
      </c>
      <c r="H189" s="133">
        <v>36</v>
      </c>
      <c r="I189" s="134"/>
      <c r="J189" s="135">
        <f>ROUND(I189*H189,2)</f>
        <v>0</v>
      </c>
      <c r="K189" s="131" t="s">
        <v>184</v>
      </c>
      <c r="L189" s="33"/>
      <c r="M189" s="136" t="s">
        <v>3</v>
      </c>
      <c r="N189" s="137" t="s">
        <v>48</v>
      </c>
      <c r="P189" s="138">
        <f>O189*H189</f>
        <v>0</v>
      </c>
      <c r="Q189" s="138">
        <v>0.0004119</v>
      </c>
      <c r="R189" s="138">
        <f>Q189*H189</f>
        <v>0.014828399999999999</v>
      </c>
      <c r="S189" s="138">
        <v>0</v>
      </c>
      <c r="T189" s="139">
        <f>S189*H189</f>
        <v>0</v>
      </c>
      <c r="AR189" s="140" t="s">
        <v>237</v>
      </c>
      <c r="AT189" s="140" t="s">
        <v>180</v>
      </c>
      <c r="AU189" s="140" t="s">
        <v>87</v>
      </c>
      <c r="AY189" s="18" t="s">
        <v>177</v>
      </c>
      <c r="BE189" s="141">
        <f>IF(N189="základní",J189,0)</f>
        <v>0</v>
      </c>
      <c r="BF189" s="141">
        <f>IF(N189="snížená",J189,0)</f>
        <v>0</v>
      </c>
      <c r="BG189" s="141">
        <f>IF(N189="zákl. přenesená",J189,0)</f>
        <v>0</v>
      </c>
      <c r="BH189" s="141">
        <f>IF(N189="sníž. přenesená",J189,0)</f>
        <v>0</v>
      </c>
      <c r="BI189" s="141">
        <f>IF(N189="nulová",J189,0)</f>
        <v>0</v>
      </c>
      <c r="BJ189" s="18" t="s">
        <v>85</v>
      </c>
      <c r="BK189" s="141">
        <f>ROUND(I189*H189,2)</f>
        <v>0</v>
      </c>
      <c r="BL189" s="18" t="s">
        <v>237</v>
      </c>
      <c r="BM189" s="140" t="s">
        <v>3965</v>
      </c>
    </row>
    <row r="190" spans="2:47" s="1" customFormat="1" ht="11.25">
      <c r="B190" s="33"/>
      <c r="D190" s="142" t="s">
        <v>187</v>
      </c>
      <c r="F190" s="143" t="s">
        <v>3966</v>
      </c>
      <c r="I190" s="144"/>
      <c r="L190" s="33"/>
      <c r="M190" s="145"/>
      <c r="T190" s="54"/>
      <c r="AT190" s="18" t="s">
        <v>187</v>
      </c>
      <c r="AU190" s="18" t="s">
        <v>87</v>
      </c>
    </row>
    <row r="191" spans="2:47" s="1" customFormat="1" ht="11.25">
      <c r="B191" s="33"/>
      <c r="D191" s="146" t="s">
        <v>189</v>
      </c>
      <c r="F191" s="147" t="s">
        <v>3967</v>
      </c>
      <c r="I191" s="144"/>
      <c r="L191" s="33"/>
      <c r="M191" s="145"/>
      <c r="T191" s="54"/>
      <c r="AT191" s="18" t="s">
        <v>189</v>
      </c>
      <c r="AU191" s="18" t="s">
        <v>87</v>
      </c>
    </row>
    <row r="192" spans="2:47" s="1" customFormat="1" ht="68.25">
      <c r="B192" s="33"/>
      <c r="D192" s="142" t="s">
        <v>191</v>
      </c>
      <c r="F192" s="148" t="s">
        <v>3937</v>
      </c>
      <c r="I192" s="144"/>
      <c r="L192" s="33"/>
      <c r="M192" s="145"/>
      <c r="T192" s="54"/>
      <c r="AT192" s="18" t="s">
        <v>191</v>
      </c>
      <c r="AU192" s="18" t="s">
        <v>87</v>
      </c>
    </row>
    <row r="193" spans="2:65" s="1" customFormat="1" ht="16.5" customHeight="1">
      <c r="B193" s="128"/>
      <c r="C193" s="129" t="s">
        <v>496</v>
      </c>
      <c r="D193" s="129" t="s">
        <v>180</v>
      </c>
      <c r="E193" s="130" t="s">
        <v>3968</v>
      </c>
      <c r="F193" s="131" t="s">
        <v>3969</v>
      </c>
      <c r="G193" s="132" t="s">
        <v>476</v>
      </c>
      <c r="H193" s="133">
        <v>6</v>
      </c>
      <c r="I193" s="134"/>
      <c r="J193" s="135">
        <f>ROUND(I193*H193,2)</f>
        <v>0</v>
      </c>
      <c r="K193" s="131" t="s">
        <v>184</v>
      </c>
      <c r="L193" s="33"/>
      <c r="M193" s="136" t="s">
        <v>3</v>
      </c>
      <c r="N193" s="137" t="s">
        <v>48</v>
      </c>
      <c r="P193" s="138">
        <f>O193*H193</f>
        <v>0</v>
      </c>
      <c r="Q193" s="138">
        <v>0.0004765</v>
      </c>
      <c r="R193" s="138">
        <f>Q193*H193</f>
        <v>0.002859</v>
      </c>
      <c r="S193" s="138">
        <v>0</v>
      </c>
      <c r="T193" s="139">
        <f>S193*H193</f>
        <v>0</v>
      </c>
      <c r="AR193" s="140" t="s">
        <v>237</v>
      </c>
      <c r="AT193" s="140" t="s">
        <v>180</v>
      </c>
      <c r="AU193" s="140" t="s">
        <v>87</v>
      </c>
      <c r="AY193" s="18" t="s">
        <v>177</v>
      </c>
      <c r="BE193" s="141">
        <f>IF(N193="základní",J193,0)</f>
        <v>0</v>
      </c>
      <c r="BF193" s="141">
        <f>IF(N193="snížená",J193,0)</f>
        <v>0</v>
      </c>
      <c r="BG193" s="141">
        <f>IF(N193="zákl. přenesená",J193,0)</f>
        <v>0</v>
      </c>
      <c r="BH193" s="141">
        <f>IF(N193="sníž. přenesená",J193,0)</f>
        <v>0</v>
      </c>
      <c r="BI193" s="141">
        <f>IF(N193="nulová",J193,0)</f>
        <v>0</v>
      </c>
      <c r="BJ193" s="18" t="s">
        <v>85</v>
      </c>
      <c r="BK193" s="141">
        <f>ROUND(I193*H193,2)</f>
        <v>0</v>
      </c>
      <c r="BL193" s="18" t="s">
        <v>237</v>
      </c>
      <c r="BM193" s="140" t="s">
        <v>3970</v>
      </c>
    </row>
    <row r="194" spans="2:47" s="1" customFormat="1" ht="11.25">
      <c r="B194" s="33"/>
      <c r="D194" s="142" t="s">
        <v>187</v>
      </c>
      <c r="F194" s="143" t="s">
        <v>3971</v>
      </c>
      <c r="I194" s="144"/>
      <c r="L194" s="33"/>
      <c r="M194" s="145"/>
      <c r="T194" s="54"/>
      <c r="AT194" s="18" t="s">
        <v>187</v>
      </c>
      <c r="AU194" s="18" t="s">
        <v>87</v>
      </c>
    </row>
    <row r="195" spans="2:47" s="1" customFormat="1" ht="11.25">
      <c r="B195" s="33"/>
      <c r="D195" s="146" t="s">
        <v>189</v>
      </c>
      <c r="F195" s="147" t="s">
        <v>3972</v>
      </c>
      <c r="I195" s="144"/>
      <c r="L195" s="33"/>
      <c r="M195" s="145"/>
      <c r="T195" s="54"/>
      <c r="AT195" s="18" t="s">
        <v>189</v>
      </c>
      <c r="AU195" s="18" t="s">
        <v>87</v>
      </c>
    </row>
    <row r="196" spans="2:47" s="1" customFormat="1" ht="68.25">
      <c r="B196" s="33"/>
      <c r="D196" s="142" t="s">
        <v>191</v>
      </c>
      <c r="F196" s="148" t="s">
        <v>3937</v>
      </c>
      <c r="I196" s="144"/>
      <c r="L196" s="33"/>
      <c r="M196" s="145"/>
      <c r="T196" s="54"/>
      <c r="AT196" s="18" t="s">
        <v>191</v>
      </c>
      <c r="AU196" s="18" t="s">
        <v>87</v>
      </c>
    </row>
    <row r="197" spans="2:65" s="1" customFormat="1" ht="16.5" customHeight="1">
      <c r="B197" s="128"/>
      <c r="C197" s="129" t="s">
        <v>502</v>
      </c>
      <c r="D197" s="129" t="s">
        <v>180</v>
      </c>
      <c r="E197" s="130" t="s">
        <v>3973</v>
      </c>
      <c r="F197" s="131" t="s">
        <v>3974</v>
      </c>
      <c r="G197" s="132" t="s">
        <v>476</v>
      </c>
      <c r="H197" s="133">
        <v>15</v>
      </c>
      <c r="I197" s="134"/>
      <c r="J197" s="135">
        <f>ROUND(I197*H197,2)</f>
        <v>0</v>
      </c>
      <c r="K197" s="131" t="s">
        <v>184</v>
      </c>
      <c r="L197" s="33"/>
      <c r="M197" s="136" t="s">
        <v>3</v>
      </c>
      <c r="N197" s="137" t="s">
        <v>48</v>
      </c>
      <c r="P197" s="138">
        <f>O197*H197</f>
        <v>0</v>
      </c>
      <c r="Q197" s="138">
        <v>0.0022362</v>
      </c>
      <c r="R197" s="138">
        <f>Q197*H197</f>
        <v>0.033542999999999996</v>
      </c>
      <c r="S197" s="138">
        <v>0</v>
      </c>
      <c r="T197" s="139">
        <f>S197*H197</f>
        <v>0</v>
      </c>
      <c r="AR197" s="140" t="s">
        <v>237</v>
      </c>
      <c r="AT197" s="140" t="s">
        <v>180</v>
      </c>
      <c r="AU197" s="140" t="s">
        <v>87</v>
      </c>
      <c r="AY197" s="18" t="s">
        <v>177</v>
      </c>
      <c r="BE197" s="141">
        <f>IF(N197="základní",J197,0)</f>
        <v>0</v>
      </c>
      <c r="BF197" s="141">
        <f>IF(N197="snížená",J197,0)</f>
        <v>0</v>
      </c>
      <c r="BG197" s="141">
        <f>IF(N197="zákl. přenesená",J197,0)</f>
        <v>0</v>
      </c>
      <c r="BH197" s="141">
        <f>IF(N197="sníž. přenesená",J197,0)</f>
        <v>0</v>
      </c>
      <c r="BI197" s="141">
        <f>IF(N197="nulová",J197,0)</f>
        <v>0</v>
      </c>
      <c r="BJ197" s="18" t="s">
        <v>85</v>
      </c>
      <c r="BK197" s="141">
        <f>ROUND(I197*H197,2)</f>
        <v>0</v>
      </c>
      <c r="BL197" s="18" t="s">
        <v>237</v>
      </c>
      <c r="BM197" s="140" t="s">
        <v>3975</v>
      </c>
    </row>
    <row r="198" spans="2:47" s="1" customFormat="1" ht="11.25">
      <c r="B198" s="33"/>
      <c r="D198" s="142" t="s">
        <v>187</v>
      </c>
      <c r="F198" s="143" t="s">
        <v>3976</v>
      </c>
      <c r="I198" s="144"/>
      <c r="L198" s="33"/>
      <c r="M198" s="145"/>
      <c r="T198" s="54"/>
      <c r="AT198" s="18" t="s">
        <v>187</v>
      </c>
      <c r="AU198" s="18" t="s">
        <v>87</v>
      </c>
    </row>
    <row r="199" spans="2:47" s="1" customFormat="1" ht="11.25">
      <c r="B199" s="33"/>
      <c r="D199" s="146" t="s">
        <v>189</v>
      </c>
      <c r="F199" s="147" t="s">
        <v>3977</v>
      </c>
      <c r="I199" s="144"/>
      <c r="L199" s="33"/>
      <c r="M199" s="145"/>
      <c r="T199" s="54"/>
      <c r="AT199" s="18" t="s">
        <v>189</v>
      </c>
      <c r="AU199" s="18" t="s">
        <v>87</v>
      </c>
    </row>
    <row r="200" spans="2:47" s="1" customFormat="1" ht="68.25">
      <c r="B200" s="33"/>
      <c r="D200" s="142" t="s">
        <v>191</v>
      </c>
      <c r="F200" s="148" t="s">
        <v>3937</v>
      </c>
      <c r="I200" s="144"/>
      <c r="L200" s="33"/>
      <c r="M200" s="145"/>
      <c r="T200" s="54"/>
      <c r="AT200" s="18" t="s">
        <v>191</v>
      </c>
      <c r="AU200" s="18" t="s">
        <v>87</v>
      </c>
    </row>
    <row r="201" spans="2:65" s="1" customFormat="1" ht="16.5" customHeight="1">
      <c r="B201" s="128"/>
      <c r="C201" s="129" t="s">
        <v>504</v>
      </c>
      <c r="D201" s="129" t="s">
        <v>180</v>
      </c>
      <c r="E201" s="130" t="s">
        <v>3978</v>
      </c>
      <c r="F201" s="131" t="s">
        <v>3979</v>
      </c>
      <c r="G201" s="132" t="s">
        <v>476</v>
      </c>
      <c r="H201" s="133">
        <v>11.6</v>
      </c>
      <c r="I201" s="134"/>
      <c r="J201" s="135">
        <f>ROUND(I201*H201,2)</f>
        <v>0</v>
      </c>
      <c r="K201" s="131" t="s">
        <v>184</v>
      </c>
      <c r="L201" s="33"/>
      <c r="M201" s="136" t="s">
        <v>3</v>
      </c>
      <c r="N201" s="137" t="s">
        <v>48</v>
      </c>
      <c r="P201" s="138">
        <f>O201*H201</f>
        <v>0</v>
      </c>
      <c r="Q201" s="138">
        <v>0.0019339</v>
      </c>
      <c r="R201" s="138">
        <f>Q201*H201</f>
        <v>0.022433239999999997</v>
      </c>
      <c r="S201" s="138">
        <v>0</v>
      </c>
      <c r="T201" s="139">
        <f>S201*H201</f>
        <v>0</v>
      </c>
      <c r="AR201" s="140" t="s">
        <v>237</v>
      </c>
      <c r="AT201" s="140" t="s">
        <v>180</v>
      </c>
      <c r="AU201" s="140" t="s">
        <v>87</v>
      </c>
      <c r="AY201" s="18" t="s">
        <v>177</v>
      </c>
      <c r="BE201" s="141">
        <f>IF(N201="základní",J201,0)</f>
        <v>0</v>
      </c>
      <c r="BF201" s="141">
        <f>IF(N201="snížená",J201,0)</f>
        <v>0</v>
      </c>
      <c r="BG201" s="141">
        <f>IF(N201="zákl. přenesená",J201,0)</f>
        <v>0</v>
      </c>
      <c r="BH201" s="141">
        <f>IF(N201="sníž. přenesená",J201,0)</f>
        <v>0</v>
      </c>
      <c r="BI201" s="141">
        <f>IF(N201="nulová",J201,0)</f>
        <v>0</v>
      </c>
      <c r="BJ201" s="18" t="s">
        <v>85</v>
      </c>
      <c r="BK201" s="141">
        <f>ROUND(I201*H201,2)</f>
        <v>0</v>
      </c>
      <c r="BL201" s="18" t="s">
        <v>237</v>
      </c>
      <c r="BM201" s="140" t="s">
        <v>3980</v>
      </c>
    </row>
    <row r="202" spans="2:47" s="1" customFormat="1" ht="11.25">
      <c r="B202" s="33"/>
      <c r="D202" s="142" t="s">
        <v>187</v>
      </c>
      <c r="F202" s="143" t="s">
        <v>3981</v>
      </c>
      <c r="I202" s="144"/>
      <c r="L202" s="33"/>
      <c r="M202" s="145"/>
      <c r="T202" s="54"/>
      <c r="AT202" s="18" t="s">
        <v>187</v>
      </c>
      <c r="AU202" s="18" t="s">
        <v>87</v>
      </c>
    </row>
    <row r="203" spans="2:47" s="1" customFormat="1" ht="11.25">
      <c r="B203" s="33"/>
      <c r="D203" s="146" t="s">
        <v>189</v>
      </c>
      <c r="F203" s="147" t="s">
        <v>3982</v>
      </c>
      <c r="I203" s="144"/>
      <c r="L203" s="33"/>
      <c r="M203" s="145"/>
      <c r="T203" s="54"/>
      <c r="AT203" s="18" t="s">
        <v>189</v>
      </c>
      <c r="AU203" s="18" t="s">
        <v>87</v>
      </c>
    </row>
    <row r="204" spans="2:47" s="1" customFormat="1" ht="68.25">
      <c r="B204" s="33"/>
      <c r="D204" s="142" t="s">
        <v>191</v>
      </c>
      <c r="F204" s="148" t="s">
        <v>3937</v>
      </c>
      <c r="I204" s="144"/>
      <c r="L204" s="33"/>
      <c r="M204" s="145"/>
      <c r="T204" s="54"/>
      <c r="AT204" s="18" t="s">
        <v>191</v>
      </c>
      <c r="AU204" s="18" t="s">
        <v>87</v>
      </c>
    </row>
    <row r="205" spans="2:51" s="12" customFormat="1" ht="11.25">
      <c r="B205" s="149"/>
      <c r="D205" s="142" t="s">
        <v>193</v>
      </c>
      <c r="E205" s="150" t="s">
        <v>3</v>
      </c>
      <c r="F205" s="151" t="s">
        <v>3983</v>
      </c>
      <c r="H205" s="152">
        <v>11.6</v>
      </c>
      <c r="I205" s="153"/>
      <c r="L205" s="149"/>
      <c r="M205" s="154"/>
      <c r="T205" s="155"/>
      <c r="AT205" s="150" t="s">
        <v>193</v>
      </c>
      <c r="AU205" s="150" t="s">
        <v>87</v>
      </c>
      <c r="AV205" s="12" t="s">
        <v>87</v>
      </c>
      <c r="AW205" s="12" t="s">
        <v>36</v>
      </c>
      <c r="AX205" s="12" t="s">
        <v>85</v>
      </c>
      <c r="AY205" s="150" t="s">
        <v>177</v>
      </c>
    </row>
    <row r="206" spans="2:65" s="1" customFormat="1" ht="16.5" customHeight="1">
      <c r="B206" s="128"/>
      <c r="C206" s="129" t="s">
        <v>507</v>
      </c>
      <c r="D206" s="129" t="s">
        <v>180</v>
      </c>
      <c r="E206" s="130" t="s">
        <v>3984</v>
      </c>
      <c r="F206" s="131" t="s">
        <v>3985</v>
      </c>
      <c r="G206" s="132" t="s">
        <v>476</v>
      </c>
      <c r="H206" s="133">
        <v>10.65</v>
      </c>
      <c r="I206" s="134"/>
      <c r="J206" s="135">
        <f>ROUND(I206*H206,2)</f>
        <v>0</v>
      </c>
      <c r="K206" s="131" t="s">
        <v>184</v>
      </c>
      <c r="L206" s="33"/>
      <c r="M206" s="136" t="s">
        <v>3</v>
      </c>
      <c r="N206" s="137" t="s">
        <v>48</v>
      </c>
      <c r="P206" s="138">
        <f>O206*H206</f>
        <v>0</v>
      </c>
      <c r="Q206" s="138">
        <v>0.0017195</v>
      </c>
      <c r="R206" s="138">
        <f>Q206*H206</f>
        <v>0.018312675</v>
      </c>
      <c r="S206" s="138">
        <v>0</v>
      </c>
      <c r="T206" s="139">
        <f>S206*H206</f>
        <v>0</v>
      </c>
      <c r="AR206" s="140" t="s">
        <v>237</v>
      </c>
      <c r="AT206" s="140" t="s">
        <v>180</v>
      </c>
      <c r="AU206" s="140" t="s">
        <v>87</v>
      </c>
      <c r="AY206" s="18" t="s">
        <v>177</v>
      </c>
      <c r="BE206" s="141">
        <f>IF(N206="základní",J206,0)</f>
        <v>0</v>
      </c>
      <c r="BF206" s="141">
        <f>IF(N206="snížená",J206,0)</f>
        <v>0</v>
      </c>
      <c r="BG206" s="141">
        <f>IF(N206="zákl. přenesená",J206,0)</f>
        <v>0</v>
      </c>
      <c r="BH206" s="141">
        <f>IF(N206="sníž. přenesená",J206,0)</f>
        <v>0</v>
      </c>
      <c r="BI206" s="141">
        <f>IF(N206="nulová",J206,0)</f>
        <v>0</v>
      </c>
      <c r="BJ206" s="18" t="s">
        <v>85</v>
      </c>
      <c r="BK206" s="141">
        <f>ROUND(I206*H206,2)</f>
        <v>0</v>
      </c>
      <c r="BL206" s="18" t="s">
        <v>237</v>
      </c>
      <c r="BM206" s="140" t="s">
        <v>3986</v>
      </c>
    </row>
    <row r="207" spans="2:47" s="1" customFormat="1" ht="11.25">
      <c r="B207" s="33"/>
      <c r="D207" s="142" t="s">
        <v>187</v>
      </c>
      <c r="F207" s="143" t="s">
        <v>3987</v>
      </c>
      <c r="I207" s="144"/>
      <c r="L207" s="33"/>
      <c r="M207" s="145"/>
      <c r="T207" s="54"/>
      <c r="AT207" s="18" t="s">
        <v>187</v>
      </c>
      <c r="AU207" s="18" t="s">
        <v>87</v>
      </c>
    </row>
    <row r="208" spans="2:47" s="1" customFormat="1" ht="11.25">
      <c r="B208" s="33"/>
      <c r="D208" s="146" t="s">
        <v>189</v>
      </c>
      <c r="F208" s="147" t="s">
        <v>3988</v>
      </c>
      <c r="I208" s="144"/>
      <c r="L208" s="33"/>
      <c r="M208" s="145"/>
      <c r="T208" s="54"/>
      <c r="AT208" s="18" t="s">
        <v>189</v>
      </c>
      <c r="AU208" s="18" t="s">
        <v>87</v>
      </c>
    </row>
    <row r="209" spans="2:47" s="1" customFormat="1" ht="68.25">
      <c r="B209" s="33"/>
      <c r="D209" s="142" t="s">
        <v>191</v>
      </c>
      <c r="F209" s="148" t="s">
        <v>3937</v>
      </c>
      <c r="I209" s="144"/>
      <c r="L209" s="33"/>
      <c r="M209" s="145"/>
      <c r="T209" s="54"/>
      <c r="AT209" s="18" t="s">
        <v>191</v>
      </c>
      <c r="AU209" s="18" t="s">
        <v>87</v>
      </c>
    </row>
    <row r="210" spans="2:51" s="12" customFormat="1" ht="11.25">
      <c r="B210" s="149"/>
      <c r="D210" s="142" t="s">
        <v>193</v>
      </c>
      <c r="E210" s="150" t="s">
        <v>3</v>
      </c>
      <c r="F210" s="151" t="s">
        <v>3989</v>
      </c>
      <c r="H210" s="152">
        <v>10.65</v>
      </c>
      <c r="I210" s="153"/>
      <c r="L210" s="149"/>
      <c r="M210" s="154"/>
      <c r="T210" s="155"/>
      <c r="AT210" s="150" t="s">
        <v>193</v>
      </c>
      <c r="AU210" s="150" t="s">
        <v>87</v>
      </c>
      <c r="AV210" s="12" t="s">
        <v>87</v>
      </c>
      <c r="AW210" s="12" t="s">
        <v>36</v>
      </c>
      <c r="AX210" s="12" t="s">
        <v>85</v>
      </c>
      <c r="AY210" s="150" t="s">
        <v>177</v>
      </c>
    </row>
    <row r="211" spans="2:65" s="1" customFormat="1" ht="16.5" customHeight="1">
      <c r="B211" s="128"/>
      <c r="C211" s="129" t="s">
        <v>509</v>
      </c>
      <c r="D211" s="129" t="s">
        <v>180</v>
      </c>
      <c r="E211" s="130" t="s">
        <v>3990</v>
      </c>
      <c r="F211" s="131" t="s">
        <v>3991</v>
      </c>
      <c r="G211" s="132" t="s">
        <v>476</v>
      </c>
      <c r="H211" s="133">
        <v>6.1</v>
      </c>
      <c r="I211" s="134"/>
      <c r="J211" s="135">
        <f>ROUND(I211*H211,2)</f>
        <v>0</v>
      </c>
      <c r="K211" s="131" t="s">
        <v>184</v>
      </c>
      <c r="L211" s="33"/>
      <c r="M211" s="136" t="s">
        <v>3</v>
      </c>
      <c r="N211" s="137" t="s">
        <v>48</v>
      </c>
      <c r="P211" s="138">
        <f>O211*H211</f>
        <v>0</v>
      </c>
      <c r="Q211" s="138">
        <v>0.0005342</v>
      </c>
      <c r="R211" s="138">
        <f>Q211*H211</f>
        <v>0.00325862</v>
      </c>
      <c r="S211" s="138">
        <v>0</v>
      </c>
      <c r="T211" s="139">
        <f>S211*H211</f>
        <v>0</v>
      </c>
      <c r="AR211" s="140" t="s">
        <v>237</v>
      </c>
      <c r="AT211" s="140" t="s">
        <v>180</v>
      </c>
      <c r="AU211" s="140" t="s">
        <v>87</v>
      </c>
      <c r="AY211" s="18" t="s">
        <v>177</v>
      </c>
      <c r="BE211" s="141">
        <f>IF(N211="základní",J211,0)</f>
        <v>0</v>
      </c>
      <c r="BF211" s="141">
        <f>IF(N211="snížená",J211,0)</f>
        <v>0</v>
      </c>
      <c r="BG211" s="141">
        <f>IF(N211="zákl. přenesená",J211,0)</f>
        <v>0</v>
      </c>
      <c r="BH211" s="141">
        <f>IF(N211="sníž. přenesená",J211,0)</f>
        <v>0</v>
      </c>
      <c r="BI211" s="141">
        <f>IF(N211="nulová",J211,0)</f>
        <v>0</v>
      </c>
      <c r="BJ211" s="18" t="s">
        <v>85</v>
      </c>
      <c r="BK211" s="141">
        <f>ROUND(I211*H211,2)</f>
        <v>0</v>
      </c>
      <c r="BL211" s="18" t="s">
        <v>237</v>
      </c>
      <c r="BM211" s="140" t="s">
        <v>3992</v>
      </c>
    </row>
    <row r="212" spans="2:47" s="1" customFormat="1" ht="11.25">
      <c r="B212" s="33"/>
      <c r="D212" s="142" t="s">
        <v>187</v>
      </c>
      <c r="F212" s="143" t="s">
        <v>3993</v>
      </c>
      <c r="I212" s="144"/>
      <c r="L212" s="33"/>
      <c r="M212" s="145"/>
      <c r="T212" s="54"/>
      <c r="AT212" s="18" t="s">
        <v>187</v>
      </c>
      <c r="AU212" s="18" t="s">
        <v>87</v>
      </c>
    </row>
    <row r="213" spans="2:47" s="1" customFormat="1" ht="11.25">
      <c r="B213" s="33"/>
      <c r="D213" s="146" t="s">
        <v>189</v>
      </c>
      <c r="F213" s="147" t="s">
        <v>3994</v>
      </c>
      <c r="I213" s="144"/>
      <c r="L213" s="33"/>
      <c r="M213" s="145"/>
      <c r="T213" s="54"/>
      <c r="AT213" s="18" t="s">
        <v>189</v>
      </c>
      <c r="AU213" s="18" t="s">
        <v>87</v>
      </c>
    </row>
    <row r="214" spans="2:47" s="1" customFormat="1" ht="68.25">
      <c r="B214" s="33"/>
      <c r="D214" s="142" t="s">
        <v>191</v>
      </c>
      <c r="F214" s="148" t="s">
        <v>3937</v>
      </c>
      <c r="I214" s="144"/>
      <c r="L214" s="33"/>
      <c r="M214" s="145"/>
      <c r="T214" s="54"/>
      <c r="AT214" s="18" t="s">
        <v>191</v>
      </c>
      <c r="AU214" s="18" t="s">
        <v>87</v>
      </c>
    </row>
    <row r="215" spans="2:65" s="1" customFormat="1" ht="16.5" customHeight="1">
      <c r="B215" s="128"/>
      <c r="C215" s="129" t="s">
        <v>512</v>
      </c>
      <c r="D215" s="129" t="s">
        <v>180</v>
      </c>
      <c r="E215" s="130" t="s">
        <v>3995</v>
      </c>
      <c r="F215" s="131" t="s">
        <v>3996</v>
      </c>
      <c r="G215" s="132" t="s">
        <v>476</v>
      </c>
      <c r="H215" s="133">
        <v>6.1</v>
      </c>
      <c r="I215" s="134"/>
      <c r="J215" s="135">
        <f>ROUND(I215*H215,2)</f>
        <v>0</v>
      </c>
      <c r="K215" s="131" t="s">
        <v>184</v>
      </c>
      <c r="L215" s="33"/>
      <c r="M215" s="136" t="s">
        <v>3</v>
      </c>
      <c r="N215" s="137" t="s">
        <v>48</v>
      </c>
      <c r="P215" s="138">
        <f>O215*H215</f>
        <v>0</v>
      </c>
      <c r="Q215" s="138">
        <v>0.001365</v>
      </c>
      <c r="R215" s="138">
        <f>Q215*H215</f>
        <v>0.008326499999999999</v>
      </c>
      <c r="S215" s="138">
        <v>0</v>
      </c>
      <c r="T215" s="139">
        <f>S215*H215</f>
        <v>0</v>
      </c>
      <c r="AR215" s="140" t="s">
        <v>237</v>
      </c>
      <c r="AT215" s="140" t="s">
        <v>180</v>
      </c>
      <c r="AU215" s="140" t="s">
        <v>87</v>
      </c>
      <c r="AY215" s="18" t="s">
        <v>177</v>
      </c>
      <c r="BE215" s="141">
        <f>IF(N215="základní",J215,0)</f>
        <v>0</v>
      </c>
      <c r="BF215" s="141">
        <f>IF(N215="snížená",J215,0)</f>
        <v>0</v>
      </c>
      <c r="BG215" s="141">
        <f>IF(N215="zákl. přenesená",J215,0)</f>
        <v>0</v>
      </c>
      <c r="BH215" s="141">
        <f>IF(N215="sníž. přenesená",J215,0)</f>
        <v>0</v>
      </c>
      <c r="BI215" s="141">
        <f>IF(N215="nulová",J215,0)</f>
        <v>0</v>
      </c>
      <c r="BJ215" s="18" t="s">
        <v>85</v>
      </c>
      <c r="BK215" s="141">
        <f>ROUND(I215*H215,2)</f>
        <v>0</v>
      </c>
      <c r="BL215" s="18" t="s">
        <v>237</v>
      </c>
      <c r="BM215" s="140" t="s">
        <v>3997</v>
      </c>
    </row>
    <row r="216" spans="2:47" s="1" customFormat="1" ht="11.25">
      <c r="B216" s="33"/>
      <c r="D216" s="142" t="s">
        <v>187</v>
      </c>
      <c r="F216" s="143" t="s">
        <v>3998</v>
      </c>
      <c r="I216" s="144"/>
      <c r="L216" s="33"/>
      <c r="M216" s="145"/>
      <c r="T216" s="54"/>
      <c r="AT216" s="18" t="s">
        <v>187</v>
      </c>
      <c r="AU216" s="18" t="s">
        <v>87</v>
      </c>
    </row>
    <row r="217" spans="2:47" s="1" customFormat="1" ht="11.25">
      <c r="B217" s="33"/>
      <c r="D217" s="146" t="s">
        <v>189</v>
      </c>
      <c r="F217" s="147" t="s">
        <v>3999</v>
      </c>
      <c r="I217" s="144"/>
      <c r="L217" s="33"/>
      <c r="M217" s="145"/>
      <c r="T217" s="54"/>
      <c r="AT217" s="18" t="s">
        <v>189</v>
      </c>
      <c r="AU217" s="18" t="s">
        <v>87</v>
      </c>
    </row>
    <row r="218" spans="2:47" s="1" customFormat="1" ht="68.25">
      <c r="B218" s="33"/>
      <c r="D218" s="142" t="s">
        <v>191</v>
      </c>
      <c r="F218" s="148" t="s">
        <v>3937</v>
      </c>
      <c r="I218" s="144"/>
      <c r="L218" s="33"/>
      <c r="M218" s="145"/>
      <c r="T218" s="54"/>
      <c r="AT218" s="18" t="s">
        <v>191</v>
      </c>
      <c r="AU218" s="18" t="s">
        <v>87</v>
      </c>
    </row>
    <row r="219" spans="2:65" s="1" customFormat="1" ht="16.5" customHeight="1">
      <c r="B219" s="128"/>
      <c r="C219" s="129" t="s">
        <v>520</v>
      </c>
      <c r="D219" s="129" t="s">
        <v>180</v>
      </c>
      <c r="E219" s="130" t="s">
        <v>4000</v>
      </c>
      <c r="F219" s="131" t="s">
        <v>4001</v>
      </c>
      <c r="G219" s="132" t="s">
        <v>236</v>
      </c>
      <c r="H219" s="133">
        <v>1</v>
      </c>
      <c r="I219" s="134"/>
      <c r="J219" s="135">
        <f>ROUND(I219*H219,2)</f>
        <v>0</v>
      </c>
      <c r="K219" s="131" t="s">
        <v>184</v>
      </c>
      <c r="L219" s="33"/>
      <c r="M219" s="136" t="s">
        <v>3</v>
      </c>
      <c r="N219" s="137" t="s">
        <v>48</v>
      </c>
      <c r="P219" s="138">
        <f>O219*H219</f>
        <v>0</v>
      </c>
      <c r="Q219" s="138">
        <v>0.00016125</v>
      </c>
      <c r="R219" s="138">
        <f>Q219*H219</f>
        <v>0.00016125</v>
      </c>
      <c r="S219" s="138">
        <v>0</v>
      </c>
      <c r="T219" s="139">
        <f>S219*H219</f>
        <v>0</v>
      </c>
      <c r="AR219" s="140" t="s">
        <v>237</v>
      </c>
      <c r="AT219" s="140" t="s">
        <v>180</v>
      </c>
      <c r="AU219" s="140" t="s">
        <v>87</v>
      </c>
      <c r="AY219" s="18" t="s">
        <v>177</v>
      </c>
      <c r="BE219" s="141">
        <f>IF(N219="základní",J219,0)</f>
        <v>0</v>
      </c>
      <c r="BF219" s="141">
        <f>IF(N219="snížená",J219,0)</f>
        <v>0</v>
      </c>
      <c r="BG219" s="141">
        <f>IF(N219="zákl. přenesená",J219,0)</f>
        <v>0</v>
      </c>
      <c r="BH219" s="141">
        <f>IF(N219="sníž. přenesená",J219,0)</f>
        <v>0</v>
      </c>
      <c r="BI219" s="141">
        <f>IF(N219="nulová",J219,0)</f>
        <v>0</v>
      </c>
      <c r="BJ219" s="18" t="s">
        <v>85</v>
      </c>
      <c r="BK219" s="141">
        <f>ROUND(I219*H219,2)</f>
        <v>0</v>
      </c>
      <c r="BL219" s="18" t="s">
        <v>237</v>
      </c>
      <c r="BM219" s="140" t="s">
        <v>4002</v>
      </c>
    </row>
    <row r="220" spans="2:47" s="1" customFormat="1" ht="11.25">
      <c r="B220" s="33"/>
      <c r="D220" s="142" t="s">
        <v>187</v>
      </c>
      <c r="F220" s="143" t="s">
        <v>4003</v>
      </c>
      <c r="I220" s="144"/>
      <c r="L220" s="33"/>
      <c r="M220" s="145"/>
      <c r="T220" s="54"/>
      <c r="AT220" s="18" t="s">
        <v>187</v>
      </c>
      <c r="AU220" s="18" t="s">
        <v>87</v>
      </c>
    </row>
    <row r="221" spans="2:47" s="1" customFormat="1" ht="11.25">
      <c r="B221" s="33"/>
      <c r="D221" s="146" t="s">
        <v>189</v>
      </c>
      <c r="F221" s="147" t="s">
        <v>4004</v>
      </c>
      <c r="I221" s="144"/>
      <c r="L221" s="33"/>
      <c r="M221" s="145"/>
      <c r="T221" s="54"/>
      <c r="AT221" s="18" t="s">
        <v>189</v>
      </c>
      <c r="AU221" s="18" t="s">
        <v>87</v>
      </c>
    </row>
    <row r="222" spans="2:65" s="1" customFormat="1" ht="16.5" customHeight="1">
      <c r="B222" s="128"/>
      <c r="C222" s="129" t="s">
        <v>527</v>
      </c>
      <c r="D222" s="129" t="s">
        <v>180</v>
      </c>
      <c r="E222" s="130" t="s">
        <v>4005</v>
      </c>
      <c r="F222" s="131" t="s">
        <v>4006</v>
      </c>
      <c r="G222" s="132" t="s">
        <v>236</v>
      </c>
      <c r="H222" s="133">
        <v>1</v>
      </c>
      <c r="I222" s="134"/>
      <c r="J222" s="135">
        <f>ROUND(I222*H222,2)</f>
        <v>0</v>
      </c>
      <c r="K222" s="131" t="s">
        <v>184</v>
      </c>
      <c r="L222" s="33"/>
      <c r="M222" s="136" t="s">
        <v>3</v>
      </c>
      <c r="N222" s="137" t="s">
        <v>48</v>
      </c>
      <c r="P222" s="138">
        <f>O222*H222</f>
        <v>0</v>
      </c>
      <c r="Q222" s="138">
        <v>0.000285</v>
      </c>
      <c r="R222" s="138">
        <f>Q222*H222</f>
        <v>0.000285</v>
      </c>
      <c r="S222" s="138">
        <v>0</v>
      </c>
      <c r="T222" s="139">
        <f>S222*H222</f>
        <v>0</v>
      </c>
      <c r="AR222" s="140" t="s">
        <v>237</v>
      </c>
      <c r="AT222" s="140" t="s">
        <v>180</v>
      </c>
      <c r="AU222" s="140" t="s">
        <v>87</v>
      </c>
      <c r="AY222" s="18" t="s">
        <v>177</v>
      </c>
      <c r="BE222" s="141">
        <f>IF(N222="základní",J222,0)</f>
        <v>0</v>
      </c>
      <c r="BF222" s="141">
        <f>IF(N222="snížená",J222,0)</f>
        <v>0</v>
      </c>
      <c r="BG222" s="141">
        <f>IF(N222="zákl. přenesená",J222,0)</f>
        <v>0</v>
      </c>
      <c r="BH222" s="141">
        <f>IF(N222="sníž. přenesená",J222,0)</f>
        <v>0</v>
      </c>
      <c r="BI222" s="141">
        <f>IF(N222="nulová",J222,0)</f>
        <v>0</v>
      </c>
      <c r="BJ222" s="18" t="s">
        <v>85</v>
      </c>
      <c r="BK222" s="141">
        <f>ROUND(I222*H222,2)</f>
        <v>0</v>
      </c>
      <c r="BL222" s="18" t="s">
        <v>237</v>
      </c>
      <c r="BM222" s="140" t="s">
        <v>4007</v>
      </c>
    </row>
    <row r="223" spans="2:47" s="1" customFormat="1" ht="11.25">
      <c r="B223" s="33"/>
      <c r="D223" s="142" t="s">
        <v>187</v>
      </c>
      <c r="F223" s="143" t="s">
        <v>4008</v>
      </c>
      <c r="I223" s="144"/>
      <c r="L223" s="33"/>
      <c r="M223" s="145"/>
      <c r="T223" s="54"/>
      <c r="AT223" s="18" t="s">
        <v>187</v>
      </c>
      <c r="AU223" s="18" t="s">
        <v>87</v>
      </c>
    </row>
    <row r="224" spans="2:47" s="1" customFormat="1" ht="11.25">
      <c r="B224" s="33"/>
      <c r="D224" s="146" t="s">
        <v>189</v>
      </c>
      <c r="F224" s="147" t="s">
        <v>4009</v>
      </c>
      <c r="I224" s="144"/>
      <c r="L224" s="33"/>
      <c r="M224" s="145"/>
      <c r="T224" s="54"/>
      <c r="AT224" s="18" t="s">
        <v>189</v>
      </c>
      <c r="AU224" s="18" t="s">
        <v>87</v>
      </c>
    </row>
    <row r="225" spans="2:65" s="1" customFormat="1" ht="21.75" customHeight="1">
      <c r="B225" s="128"/>
      <c r="C225" s="129" t="s">
        <v>537</v>
      </c>
      <c r="D225" s="129" t="s">
        <v>180</v>
      </c>
      <c r="E225" s="130" t="s">
        <v>4010</v>
      </c>
      <c r="F225" s="131" t="s">
        <v>4011</v>
      </c>
      <c r="G225" s="132" t="s">
        <v>476</v>
      </c>
      <c r="H225" s="133">
        <v>109.35</v>
      </c>
      <c r="I225" s="134"/>
      <c r="J225" s="135">
        <f>ROUND(I225*H225,2)</f>
        <v>0</v>
      </c>
      <c r="K225" s="131" t="s">
        <v>184</v>
      </c>
      <c r="L225" s="33"/>
      <c r="M225" s="136" t="s">
        <v>3</v>
      </c>
      <c r="N225" s="137" t="s">
        <v>48</v>
      </c>
      <c r="P225" s="138">
        <f>O225*H225</f>
        <v>0</v>
      </c>
      <c r="Q225" s="138">
        <v>0</v>
      </c>
      <c r="R225" s="138">
        <f>Q225*H225</f>
        <v>0</v>
      </c>
      <c r="S225" s="138">
        <v>0</v>
      </c>
      <c r="T225" s="139">
        <f>S225*H225</f>
        <v>0</v>
      </c>
      <c r="AR225" s="140" t="s">
        <v>237</v>
      </c>
      <c r="AT225" s="140" t="s">
        <v>180</v>
      </c>
      <c r="AU225" s="140" t="s">
        <v>87</v>
      </c>
      <c r="AY225" s="18" t="s">
        <v>177</v>
      </c>
      <c r="BE225" s="141">
        <f>IF(N225="základní",J225,0)</f>
        <v>0</v>
      </c>
      <c r="BF225" s="141">
        <f>IF(N225="snížená",J225,0)</f>
        <v>0</v>
      </c>
      <c r="BG225" s="141">
        <f>IF(N225="zákl. přenesená",J225,0)</f>
        <v>0</v>
      </c>
      <c r="BH225" s="141">
        <f>IF(N225="sníž. přenesená",J225,0)</f>
        <v>0</v>
      </c>
      <c r="BI225" s="141">
        <f>IF(N225="nulová",J225,0)</f>
        <v>0</v>
      </c>
      <c r="BJ225" s="18" t="s">
        <v>85</v>
      </c>
      <c r="BK225" s="141">
        <f>ROUND(I225*H225,2)</f>
        <v>0</v>
      </c>
      <c r="BL225" s="18" t="s">
        <v>237</v>
      </c>
      <c r="BM225" s="140" t="s">
        <v>4012</v>
      </c>
    </row>
    <row r="226" spans="2:47" s="1" customFormat="1" ht="11.25">
      <c r="B226" s="33"/>
      <c r="D226" s="142" t="s">
        <v>187</v>
      </c>
      <c r="F226" s="143" t="s">
        <v>4013</v>
      </c>
      <c r="I226" s="144"/>
      <c r="L226" s="33"/>
      <c r="M226" s="145"/>
      <c r="T226" s="54"/>
      <c r="AT226" s="18" t="s">
        <v>187</v>
      </c>
      <c r="AU226" s="18" t="s">
        <v>87</v>
      </c>
    </row>
    <row r="227" spans="2:47" s="1" customFormat="1" ht="11.25">
      <c r="B227" s="33"/>
      <c r="D227" s="146" t="s">
        <v>189</v>
      </c>
      <c r="F227" s="147" t="s">
        <v>4014</v>
      </c>
      <c r="I227" s="144"/>
      <c r="L227" s="33"/>
      <c r="M227" s="145"/>
      <c r="T227" s="54"/>
      <c r="AT227" s="18" t="s">
        <v>189</v>
      </c>
      <c r="AU227" s="18" t="s">
        <v>87</v>
      </c>
    </row>
    <row r="228" spans="2:65" s="1" customFormat="1" ht="24.2" customHeight="1">
      <c r="B228" s="128"/>
      <c r="C228" s="129" t="s">
        <v>756</v>
      </c>
      <c r="D228" s="129" t="s">
        <v>180</v>
      </c>
      <c r="E228" s="130" t="s">
        <v>4015</v>
      </c>
      <c r="F228" s="131" t="s">
        <v>4016</v>
      </c>
      <c r="G228" s="132" t="s">
        <v>476</v>
      </c>
      <c r="H228" s="133">
        <v>57.8</v>
      </c>
      <c r="I228" s="134"/>
      <c r="J228" s="135">
        <f>ROUND(I228*H228,2)</f>
        <v>0</v>
      </c>
      <c r="K228" s="131" t="s">
        <v>184</v>
      </c>
      <c r="L228" s="33"/>
      <c r="M228" s="136" t="s">
        <v>3</v>
      </c>
      <c r="N228" s="137" t="s">
        <v>48</v>
      </c>
      <c r="P228" s="138">
        <f>O228*H228</f>
        <v>0</v>
      </c>
      <c r="Q228" s="138">
        <v>0</v>
      </c>
      <c r="R228" s="138">
        <f>Q228*H228</f>
        <v>0</v>
      </c>
      <c r="S228" s="138">
        <v>0</v>
      </c>
      <c r="T228" s="139">
        <f>S228*H228</f>
        <v>0</v>
      </c>
      <c r="AR228" s="140" t="s">
        <v>237</v>
      </c>
      <c r="AT228" s="140" t="s">
        <v>180</v>
      </c>
      <c r="AU228" s="140" t="s">
        <v>87</v>
      </c>
      <c r="AY228" s="18" t="s">
        <v>177</v>
      </c>
      <c r="BE228" s="141">
        <f>IF(N228="základní",J228,0)</f>
        <v>0</v>
      </c>
      <c r="BF228" s="141">
        <f>IF(N228="snížená",J228,0)</f>
        <v>0</v>
      </c>
      <c r="BG228" s="141">
        <f>IF(N228="zákl. přenesená",J228,0)</f>
        <v>0</v>
      </c>
      <c r="BH228" s="141">
        <f>IF(N228="sníž. přenesená",J228,0)</f>
        <v>0</v>
      </c>
      <c r="BI228" s="141">
        <f>IF(N228="nulová",J228,0)</f>
        <v>0</v>
      </c>
      <c r="BJ228" s="18" t="s">
        <v>85</v>
      </c>
      <c r="BK228" s="141">
        <f>ROUND(I228*H228,2)</f>
        <v>0</v>
      </c>
      <c r="BL228" s="18" t="s">
        <v>237</v>
      </c>
      <c r="BM228" s="140" t="s">
        <v>4017</v>
      </c>
    </row>
    <row r="229" spans="2:47" s="1" customFormat="1" ht="19.5">
      <c r="B229" s="33"/>
      <c r="D229" s="142" t="s">
        <v>187</v>
      </c>
      <c r="F229" s="143" t="s">
        <v>4018</v>
      </c>
      <c r="I229" s="144"/>
      <c r="L229" s="33"/>
      <c r="M229" s="145"/>
      <c r="T229" s="54"/>
      <c r="AT229" s="18" t="s">
        <v>187</v>
      </c>
      <c r="AU229" s="18" t="s">
        <v>87</v>
      </c>
    </row>
    <row r="230" spans="2:47" s="1" customFormat="1" ht="11.25">
      <c r="B230" s="33"/>
      <c r="D230" s="146" t="s">
        <v>189</v>
      </c>
      <c r="F230" s="147" t="s">
        <v>4019</v>
      </c>
      <c r="I230" s="144"/>
      <c r="L230" s="33"/>
      <c r="M230" s="145"/>
      <c r="T230" s="54"/>
      <c r="AT230" s="18" t="s">
        <v>189</v>
      </c>
      <c r="AU230" s="18" t="s">
        <v>87</v>
      </c>
    </row>
    <row r="231" spans="2:65" s="1" customFormat="1" ht="24.2" customHeight="1">
      <c r="B231" s="128"/>
      <c r="C231" s="129" t="s">
        <v>763</v>
      </c>
      <c r="D231" s="129" t="s">
        <v>180</v>
      </c>
      <c r="E231" s="130" t="s">
        <v>2838</v>
      </c>
      <c r="F231" s="131" t="s">
        <v>2839</v>
      </c>
      <c r="G231" s="132" t="s">
        <v>183</v>
      </c>
      <c r="H231" s="133">
        <v>0.387</v>
      </c>
      <c r="I231" s="134"/>
      <c r="J231" s="135">
        <f>ROUND(I231*H231,2)</f>
        <v>0</v>
      </c>
      <c r="K231" s="131" t="s">
        <v>184</v>
      </c>
      <c r="L231" s="33"/>
      <c r="M231" s="136" t="s">
        <v>3</v>
      </c>
      <c r="N231" s="137" t="s">
        <v>48</v>
      </c>
      <c r="P231" s="138">
        <f>O231*H231</f>
        <v>0</v>
      </c>
      <c r="Q231" s="138">
        <v>0</v>
      </c>
      <c r="R231" s="138">
        <f>Q231*H231</f>
        <v>0</v>
      </c>
      <c r="S231" s="138">
        <v>0</v>
      </c>
      <c r="T231" s="139">
        <f>S231*H231</f>
        <v>0</v>
      </c>
      <c r="AR231" s="140" t="s">
        <v>237</v>
      </c>
      <c r="AT231" s="140" t="s">
        <v>180</v>
      </c>
      <c r="AU231" s="140" t="s">
        <v>87</v>
      </c>
      <c r="AY231" s="18" t="s">
        <v>177</v>
      </c>
      <c r="BE231" s="141">
        <f>IF(N231="základní",J231,0)</f>
        <v>0</v>
      </c>
      <c r="BF231" s="141">
        <f>IF(N231="snížená",J231,0)</f>
        <v>0</v>
      </c>
      <c r="BG231" s="141">
        <f>IF(N231="zákl. přenesená",J231,0)</f>
        <v>0</v>
      </c>
      <c r="BH231" s="141">
        <f>IF(N231="sníž. přenesená",J231,0)</f>
        <v>0</v>
      </c>
      <c r="BI231" s="141">
        <f>IF(N231="nulová",J231,0)</f>
        <v>0</v>
      </c>
      <c r="BJ231" s="18" t="s">
        <v>85</v>
      </c>
      <c r="BK231" s="141">
        <f>ROUND(I231*H231,2)</f>
        <v>0</v>
      </c>
      <c r="BL231" s="18" t="s">
        <v>237</v>
      </c>
      <c r="BM231" s="140" t="s">
        <v>4020</v>
      </c>
    </row>
    <row r="232" spans="2:47" s="1" customFormat="1" ht="29.25">
      <c r="B232" s="33"/>
      <c r="D232" s="142" t="s">
        <v>187</v>
      </c>
      <c r="F232" s="143" t="s">
        <v>2841</v>
      </c>
      <c r="I232" s="144"/>
      <c r="L232" s="33"/>
      <c r="M232" s="145"/>
      <c r="T232" s="54"/>
      <c r="AT232" s="18" t="s">
        <v>187</v>
      </c>
      <c r="AU232" s="18" t="s">
        <v>87</v>
      </c>
    </row>
    <row r="233" spans="2:47" s="1" customFormat="1" ht="11.25">
      <c r="B233" s="33"/>
      <c r="D233" s="146" t="s">
        <v>189</v>
      </c>
      <c r="F233" s="147" t="s">
        <v>2842</v>
      </c>
      <c r="I233" s="144"/>
      <c r="L233" s="33"/>
      <c r="M233" s="145"/>
      <c r="T233" s="54"/>
      <c r="AT233" s="18" t="s">
        <v>189</v>
      </c>
      <c r="AU233" s="18" t="s">
        <v>87</v>
      </c>
    </row>
    <row r="234" spans="2:47" s="1" customFormat="1" ht="126.75">
      <c r="B234" s="33"/>
      <c r="D234" s="142" t="s">
        <v>191</v>
      </c>
      <c r="F234" s="148" t="s">
        <v>762</v>
      </c>
      <c r="I234" s="144"/>
      <c r="L234" s="33"/>
      <c r="M234" s="145"/>
      <c r="T234" s="54"/>
      <c r="AT234" s="18" t="s">
        <v>191</v>
      </c>
      <c r="AU234" s="18" t="s">
        <v>87</v>
      </c>
    </row>
    <row r="235" spans="2:65" s="1" customFormat="1" ht="24.2" customHeight="1">
      <c r="B235" s="128"/>
      <c r="C235" s="129" t="s">
        <v>771</v>
      </c>
      <c r="D235" s="129" t="s">
        <v>180</v>
      </c>
      <c r="E235" s="130" t="s">
        <v>2844</v>
      </c>
      <c r="F235" s="131" t="s">
        <v>2845</v>
      </c>
      <c r="G235" s="132" t="s">
        <v>183</v>
      </c>
      <c r="H235" s="133">
        <v>0.387</v>
      </c>
      <c r="I235" s="134"/>
      <c r="J235" s="135">
        <f>ROUND(I235*H235,2)</f>
        <v>0</v>
      </c>
      <c r="K235" s="131" t="s">
        <v>184</v>
      </c>
      <c r="L235" s="33"/>
      <c r="M235" s="136" t="s">
        <v>3</v>
      </c>
      <c r="N235" s="137" t="s">
        <v>48</v>
      </c>
      <c r="P235" s="138">
        <f>O235*H235</f>
        <v>0</v>
      </c>
      <c r="Q235" s="138">
        <v>0</v>
      </c>
      <c r="R235" s="138">
        <f>Q235*H235</f>
        <v>0</v>
      </c>
      <c r="S235" s="138">
        <v>0</v>
      </c>
      <c r="T235" s="139">
        <f>S235*H235</f>
        <v>0</v>
      </c>
      <c r="AR235" s="140" t="s">
        <v>237</v>
      </c>
      <c r="AT235" s="140" t="s">
        <v>180</v>
      </c>
      <c r="AU235" s="140" t="s">
        <v>87</v>
      </c>
      <c r="AY235" s="18" t="s">
        <v>177</v>
      </c>
      <c r="BE235" s="141">
        <f>IF(N235="základní",J235,0)</f>
        <v>0</v>
      </c>
      <c r="BF235" s="141">
        <f>IF(N235="snížená",J235,0)</f>
        <v>0</v>
      </c>
      <c r="BG235" s="141">
        <f>IF(N235="zákl. přenesená",J235,0)</f>
        <v>0</v>
      </c>
      <c r="BH235" s="141">
        <f>IF(N235="sníž. přenesená",J235,0)</f>
        <v>0</v>
      </c>
      <c r="BI235" s="141">
        <f>IF(N235="nulová",J235,0)</f>
        <v>0</v>
      </c>
      <c r="BJ235" s="18" t="s">
        <v>85</v>
      </c>
      <c r="BK235" s="141">
        <f>ROUND(I235*H235,2)</f>
        <v>0</v>
      </c>
      <c r="BL235" s="18" t="s">
        <v>237</v>
      </c>
      <c r="BM235" s="140" t="s">
        <v>4021</v>
      </c>
    </row>
    <row r="236" spans="2:47" s="1" customFormat="1" ht="29.25">
      <c r="B236" s="33"/>
      <c r="D236" s="142" t="s">
        <v>187</v>
      </c>
      <c r="F236" s="143" t="s">
        <v>2847</v>
      </c>
      <c r="I236" s="144"/>
      <c r="L236" s="33"/>
      <c r="M236" s="145"/>
      <c r="T236" s="54"/>
      <c r="AT236" s="18" t="s">
        <v>187</v>
      </c>
      <c r="AU236" s="18" t="s">
        <v>87</v>
      </c>
    </row>
    <row r="237" spans="2:47" s="1" customFormat="1" ht="11.25">
      <c r="B237" s="33"/>
      <c r="D237" s="146" t="s">
        <v>189</v>
      </c>
      <c r="F237" s="147" t="s">
        <v>2848</v>
      </c>
      <c r="I237" s="144"/>
      <c r="L237" s="33"/>
      <c r="M237" s="145"/>
      <c r="T237" s="54"/>
      <c r="AT237" s="18" t="s">
        <v>189</v>
      </c>
      <c r="AU237" s="18" t="s">
        <v>87</v>
      </c>
    </row>
    <row r="238" spans="2:47" s="1" customFormat="1" ht="126.75">
      <c r="B238" s="33"/>
      <c r="D238" s="142" t="s">
        <v>191</v>
      </c>
      <c r="F238" s="148" t="s">
        <v>762</v>
      </c>
      <c r="I238" s="144"/>
      <c r="L238" s="33"/>
      <c r="M238" s="145"/>
      <c r="T238" s="54"/>
      <c r="AT238" s="18" t="s">
        <v>191</v>
      </c>
      <c r="AU238" s="18" t="s">
        <v>87</v>
      </c>
    </row>
    <row r="239" spans="2:65" s="1" customFormat="1" ht="21.75" customHeight="1">
      <c r="B239" s="128"/>
      <c r="C239" s="179" t="s">
        <v>780</v>
      </c>
      <c r="D239" s="179" t="s">
        <v>484</v>
      </c>
      <c r="E239" s="180" t="s">
        <v>4022</v>
      </c>
      <c r="F239" s="181" t="s">
        <v>4023</v>
      </c>
      <c r="G239" s="182" t="s">
        <v>236</v>
      </c>
      <c r="H239" s="183">
        <v>1</v>
      </c>
      <c r="I239" s="184"/>
      <c r="J239" s="185">
        <f>ROUND(I239*H239,2)</f>
        <v>0</v>
      </c>
      <c r="K239" s="181" t="s">
        <v>184</v>
      </c>
      <c r="L239" s="186"/>
      <c r="M239" s="187" t="s">
        <v>3</v>
      </c>
      <c r="N239" s="188" t="s">
        <v>48</v>
      </c>
      <c r="P239" s="138">
        <f>O239*H239</f>
        <v>0</v>
      </c>
      <c r="Q239" s="138">
        <v>0.00014</v>
      </c>
      <c r="R239" s="138">
        <f>Q239*H239</f>
        <v>0.00014</v>
      </c>
      <c r="S239" s="138">
        <v>0</v>
      </c>
      <c r="T239" s="139">
        <f>S239*H239</f>
        <v>0</v>
      </c>
      <c r="AR239" s="140" t="s">
        <v>537</v>
      </c>
      <c r="AT239" s="140" t="s">
        <v>484</v>
      </c>
      <c r="AU239" s="140" t="s">
        <v>87</v>
      </c>
      <c r="AY239" s="18" t="s">
        <v>177</v>
      </c>
      <c r="BE239" s="141">
        <f>IF(N239="základní",J239,0)</f>
        <v>0</v>
      </c>
      <c r="BF239" s="141">
        <f>IF(N239="snížená",J239,0)</f>
        <v>0</v>
      </c>
      <c r="BG239" s="141">
        <f>IF(N239="zákl. přenesená",J239,0)</f>
        <v>0</v>
      </c>
      <c r="BH239" s="141">
        <f>IF(N239="sníž. přenesená",J239,0)</f>
        <v>0</v>
      </c>
      <c r="BI239" s="141">
        <f>IF(N239="nulová",J239,0)</f>
        <v>0</v>
      </c>
      <c r="BJ239" s="18" t="s">
        <v>85</v>
      </c>
      <c r="BK239" s="141">
        <f>ROUND(I239*H239,2)</f>
        <v>0</v>
      </c>
      <c r="BL239" s="18" t="s">
        <v>237</v>
      </c>
      <c r="BM239" s="140" t="s">
        <v>4024</v>
      </c>
    </row>
    <row r="240" spans="2:47" s="1" customFormat="1" ht="11.25">
      <c r="B240" s="33"/>
      <c r="D240" s="142" t="s">
        <v>187</v>
      </c>
      <c r="F240" s="143" t="s">
        <v>4023</v>
      </c>
      <c r="I240" s="144"/>
      <c r="L240" s="33"/>
      <c r="M240" s="145"/>
      <c r="T240" s="54"/>
      <c r="AT240" s="18" t="s">
        <v>187</v>
      </c>
      <c r="AU240" s="18" t="s">
        <v>87</v>
      </c>
    </row>
    <row r="241" spans="2:65" s="1" customFormat="1" ht="21.75" customHeight="1">
      <c r="B241" s="128"/>
      <c r="C241" s="179" t="s">
        <v>786</v>
      </c>
      <c r="D241" s="179" t="s">
        <v>484</v>
      </c>
      <c r="E241" s="180" t="s">
        <v>4025</v>
      </c>
      <c r="F241" s="181" t="s">
        <v>4026</v>
      </c>
      <c r="G241" s="182" t="s">
        <v>236</v>
      </c>
      <c r="H241" s="183">
        <v>1</v>
      </c>
      <c r="I241" s="184"/>
      <c r="J241" s="185">
        <f>ROUND(I241*H241,2)</f>
        <v>0</v>
      </c>
      <c r="K241" s="181" t="s">
        <v>184</v>
      </c>
      <c r="L241" s="186"/>
      <c r="M241" s="187" t="s">
        <v>3</v>
      </c>
      <c r="N241" s="188" t="s">
        <v>48</v>
      </c>
      <c r="P241" s="138">
        <f>O241*H241</f>
        <v>0</v>
      </c>
      <c r="Q241" s="138">
        <v>0.0004</v>
      </c>
      <c r="R241" s="138">
        <f>Q241*H241</f>
        <v>0.0004</v>
      </c>
      <c r="S241" s="138">
        <v>0</v>
      </c>
      <c r="T241" s="139">
        <f>S241*H241</f>
        <v>0</v>
      </c>
      <c r="AR241" s="140" t="s">
        <v>537</v>
      </c>
      <c r="AT241" s="140" t="s">
        <v>484</v>
      </c>
      <c r="AU241" s="140" t="s">
        <v>87</v>
      </c>
      <c r="AY241" s="18" t="s">
        <v>177</v>
      </c>
      <c r="BE241" s="141">
        <f>IF(N241="základní",J241,0)</f>
        <v>0</v>
      </c>
      <c r="BF241" s="141">
        <f>IF(N241="snížená",J241,0)</f>
        <v>0</v>
      </c>
      <c r="BG241" s="141">
        <f>IF(N241="zákl. přenesená",J241,0)</f>
        <v>0</v>
      </c>
      <c r="BH241" s="141">
        <f>IF(N241="sníž. přenesená",J241,0)</f>
        <v>0</v>
      </c>
      <c r="BI241" s="141">
        <f>IF(N241="nulová",J241,0)</f>
        <v>0</v>
      </c>
      <c r="BJ241" s="18" t="s">
        <v>85</v>
      </c>
      <c r="BK241" s="141">
        <f>ROUND(I241*H241,2)</f>
        <v>0</v>
      </c>
      <c r="BL241" s="18" t="s">
        <v>237</v>
      </c>
      <c r="BM241" s="140" t="s">
        <v>4027</v>
      </c>
    </row>
    <row r="242" spans="2:47" s="1" customFormat="1" ht="11.25">
      <c r="B242" s="33"/>
      <c r="D242" s="142" t="s">
        <v>187</v>
      </c>
      <c r="F242" s="143" t="s">
        <v>4026</v>
      </c>
      <c r="I242" s="144"/>
      <c r="L242" s="33"/>
      <c r="M242" s="145"/>
      <c r="T242" s="54"/>
      <c r="AT242" s="18" t="s">
        <v>187</v>
      </c>
      <c r="AU242" s="18" t="s">
        <v>87</v>
      </c>
    </row>
    <row r="243" spans="2:65" s="1" customFormat="1" ht="21.75" customHeight="1">
      <c r="B243" s="128"/>
      <c r="C243" s="179" t="s">
        <v>793</v>
      </c>
      <c r="D243" s="179" t="s">
        <v>484</v>
      </c>
      <c r="E243" s="180" t="s">
        <v>4028</v>
      </c>
      <c r="F243" s="181" t="s">
        <v>4029</v>
      </c>
      <c r="G243" s="182" t="s">
        <v>236</v>
      </c>
      <c r="H243" s="183">
        <v>2</v>
      </c>
      <c r="I243" s="184"/>
      <c r="J243" s="185">
        <f>ROUND(I243*H243,2)</f>
        <v>0</v>
      </c>
      <c r="K243" s="181" t="s">
        <v>184</v>
      </c>
      <c r="L243" s="186"/>
      <c r="M243" s="187" t="s">
        <v>3</v>
      </c>
      <c r="N243" s="188" t="s">
        <v>48</v>
      </c>
      <c r="P243" s="138">
        <f>O243*H243</f>
        <v>0</v>
      </c>
      <c r="Q243" s="138">
        <v>0.0007</v>
      </c>
      <c r="R243" s="138">
        <f>Q243*H243</f>
        <v>0.0014</v>
      </c>
      <c r="S243" s="138">
        <v>0</v>
      </c>
      <c r="T243" s="139">
        <f>S243*H243</f>
        <v>0</v>
      </c>
      <c r="AR243" s="140" t="s">
        <v>537</v>
      </c>
      <c r="AT243" s="140" t="s">
        <v>484</v>
      </c>
      <c r="AU243" s="140" t="s">
        <v>87</v>
      </c>
      <c r="AY243" s="18" t="s">
        <v>177</v>
      </c>
      <c r="BE243" s="141">
        <f>IF(N243="základní",J243,0)</f>
        <v>0</v>
      </c>
      <c r="BF243" s="141">
        <f>IF(N243="snížená",J243,0)</f>
        <v>0</v>
      </c>
      <c r="BG243" s="141">
        <f>IF(N243="zákl. přenesená",J243,0)</f>
        <v>0</v>
      </c>
      <c r="BH243" s="141">
        <f>IF(N243="sníž. přenesená",J243,0)</f>
        <v>0</v>
      </c>
      <c r="BI243" s="141">
        <f>IF(N243="nulová",J243,0)</f>
        <v>0</v>
      </c>
      <c r="BJ243" s="18" t="s">
        <v>85</v>
      </c>
      <c r="BK243" s="141">
        <f>ROUND(I243*H243,2)</f>
        <v>0</v>
      </c>
      <c r="BL243" s="18" t="s">
        <v>237</v>
      </c>
      <c r="BM243" s="140" t="s">
        <v>4030</v>
      </c>
    </row>
    <row r="244" spans="2:47" s="1" customFormat="1" ht="11.25">
      <c r="B244" s="33"/>
      <c r="D244" s="142" t="s">
        <v>187</v>
      </c>
      <c r="F244" s="143" t="s">
        <v>4029</v>
      </c>
      <c r="I244" s="144"/>
      <c r="L244" s="33"/>
      <c r="M244" s="145"/>
      <c r="T244" s="54"/>
      <c r="AT244" s="18" t="s">
        <v>187</v>
      </c>
      <c r="AU244" s="18" t="s">
        <v>87</v>
      </c>
    </row>
    <row r="245" spans="2:65" s="1" customFormat="1" ht="16.5" customHeight="1">
      <c r="B245" s="128"/>
      <c r="C245" s="129" t="s">
        <v>799</v>
      </c>
      <c r="D245" s="129" t="s">
        <v>180</v>
      </c>
      <c r="E245" s="130" t="s">
        <v>4031</v>
      </c>
      <c r="F245" s="131" t="s">
        <v>4032</v>
      </c>
      <c r="G245" s="132" t="s">
        <v>243</v>
      </c>
      <c r="H245" s="133">
        <v>1</v>
      </c>
      <c r="I245" s="134"/>
      <c r="J245" s="135">
        <f>ROUND(I245*H245,2)</f>
        <v>0</v>
      </c>
      <c r="K245" s="131" t="s">
        <v>244</v>
      </c>
      <c r="L245" s="33"/>
      <c r="M245" s="136" t="s">
        <v>3</v>
      </c>
      <c r="N245" s="137" t="s">
        <v>48</v>
      </c>
      <c r="P245" s="138">
        <f>O245*H245</f>
        <v>0</v>
      </c>
      <c r="Q245" s="138">
        <v>0</v>
      </c>
      <c r="R245" s="138">
        <f>Q245*H245</f>
        <v>0</v>
      </c>
      <c r="S245" s="138">
        <v>0</v>
      </c>
      <c r="T245" s="139">
        <f>S245*H245</f>
        <v>0</v>
      </c>
      <c r="AR245" s="140" t="s">
        <v>237</v>
      </c>
      <c r="AT245" s="140" t="s">
        <v>180</v>
      </c>
      <c r="AU245" s="140" t="s">
        <v>87</v>
      </c>
      <c r="AY245" s="18" t="s">
        <v>177</v>
      </c>
      <c r="BE245" s="141">
        <f>IF(N245="základní",J245,0)</f>
        <v>0</v>
      </c>
      <c r="BF245" s="141">
        <f>IF(N245="snížená",J245,0)</f>
        <v>0</v>
      </c>
      <c r="BG245" s="141">
        <f>IF(N245="zákl. přenesená",J245,0)</f>
        <v>0</v>
      </c>
      <c r="BH245" s="141">
        <f>IF(N245="sníž. přenesená",J245,0)</f>
        <v>0</v>
      </c>
      <c r="BI245" s="141">
        <f>IF(N245="nulová",J245,0)</f>
        <v>0</v>
      </c>
      <c r="BJ245" s="18" t="s">
        <v>85</v>
      </c>
      <c r="BK245" s="141">
        <f>ROUND(I245*H245,2)</f>
        <v>0</v>
      </c>
      <c r="BL245" s="18" t="s">
        <v>237</v>
      </c>
      <c r="BM245" s="140" t="s">
        <v>4033</v>
      </c>
    </row>
    <row r="246" spans="2:47" s="1" customFormat="1" ht="11.25">
      <c r="B246" s="33"/>
      <c r="D246" s="142" t="s">
        <v>187</v>
      </c>
      <c r="F246" s="143" t="s">
        <v>4032</v>
      </c>
      <c r="I246" s="144"/>
      <c r="L246" s="33"/>
      <c r="M246" s="145"/>
      <c r="T246" s="54"/>
      <c r="AT246" s="18" t="s">
        <v>187</v>
      </c>
      <c r="AU246" s="18" t="s">
        <v>87</v>
      </c>
    </row>
    <row r="247" spans="2:63" s="11" customFormat="1" ht="22.9" customHeight="1">
      <c r="B247" s="116"/>
      <c r="D247" s="117" t="s">
        <v>76</v>
      </c>
      <c r="E247" s="126" t="s">
        <v>246</v>
      </c>
      <c r="F247" s="126" t="s">
        <v>247</v>
      </c>
      <c r="I247" s="119"/>
      <c r="J247" s="127">
        <f>BK247</f>
        <v>0</v>
      </c>
      <c r="L247" s="116"/>
      <c r="M247" s="121"/>
      <c r="P247" s="122">
        <f>SUM(P248:P326)</f>
        <v>0</v>
      </c>
      <c r="R247" s="122">
        <f>SUM(R248:R326)</f>
        <v>0.2843446005</v>
      </c>
      <c r="T247" s="123">
        <f>SUM(T248:T326)</f>
        <v>0</v>
      </c>
      <c r="AR247" s="117" t="s">
        <v>87</v>
      </c>
      <c r="AT247" s="124" t="s">
        <v>76</v>
      </c>
      <c r="AU247" s="124" t="s">
        <v>85</v>
      </c>
      <c r="AY247" s="117" t="s">
        <v>177</v>
      </c>
      <c r="BK247" s="125">
        <f>SUM(BK248:BK326)</f>
        <v>0</v>
      </c>
    </row>
    <row r="248" spans="2:65" s="1" customFormat="1" ht="16.5" customHeight="1">
      <c r="B248" s="128"/>
      <c r="C248" s="129" t="s">
        <v>1115</v>
      </c>
      <c r="D248" s="129" t="s">
        <v>180</v>
      </c>
      <c r="E248" s="130" t="s">
        <v>4034</v>
      </c>
      <c r="F248" s="131" t="s">
        <v>4032</v>
      </c>
      <c r="G248" s="132" t="s">
        <v>243</v>
      </c>
      <c r="H248" s="133">
        <v>1</v>
      </c>
      <c r="I248" s="134"/>
      <c r="J248" s="135">
        <f>ROUND(I248*H248,2)</f>
        <v>0</v>
      </c>
      <c r="K248" s="131" t="s">
        <v>244</v>
      </c>
      <c r="L248" s="33"/>
      <c r="M248" s="136" t="s">
        <v>3</v>
      </c>
      <c r="N248" s="137" t="s">
        <v>48</v>
      </c>
      <c r="P248" s="138">
        <f>O248*H248</f>
        <v>0</v>
      </c>
      <c r="Q248" s="138">
        <v>0</v>
      </c>
      <c r="R248" s="138">
        <f>Q248*H248</f>
        <v>0</v>
      </c>
      <c r="S248" s="138">
        <v>0</v>
      </c>
      <c r="T248" s="139">
        <f>S248*H248</f>
        <v>0</v>
      </c>
      <c r="AR248" s="140" t="s">
        <v>237</v>
      </c>
      <c r="AT248" s="140" t="s">
        <v>180</v>
      </c>
      <c r="AU248" s="140" t="s">
        <v>87</v>
      </c>
      <c r="AY248" s="18" t="s">
        <v>177</v>
      </c>
      <c r="BE248" s="141">
        <f>IF(N248="základní",J248,0)</f>
        <v>0</v>
      </c>
      <c r="BF248" s="141">
        <f>IF(N248="snížená",J248,0)</f>
        <v>0</v>
      </c>
      <c r="BG248" s="141">
        <f>IF(N248="zákl. přenesená",J248,0)</f>
        <v>0</v>
      </c>
      <c r="BH248" s="141">
        <f>IF(N248="sníž. přenesená",J248,0)</f>
        <v>0</v>
      </c>
      <c r="BI248" s="141">
        <f>IF(N248="nulová",J248,0)</f>
        <v>0</v>
      </c>
      <c r="BJ248" s="18" t="s">
        <v>85</v>
      </c>
      <c r="BK248" s="141">
        <f>ROUND(I248*H248,2)</f>
        <v>0</v>
      </c>
      <c r="BL248" s="18" t="s">
        <v>237</v>
      </c>
      <c r="BM248" s="140" t="s">
        <v>4035</v>
      </c>
    </row>
    <row r="249" spans="2:47" s="1" customFormat="1" ht="11.25">
      <c r="B249" s="33"/>
      <c r="D249" s="142" t="s">
        <v>187</v>
      </c>
      <c r="F249" s="143" t="s">
        <v>4032</v>
      </c>
      <c r="I249" s="144"/>
      <c r="L249" s="33"/>
      <c r="M249" s="145"/>
      <c r="T249" s="54"/>
      <c r="AT249" s="18" t="s">
        <v>187</v>
      </c>
      <c r="AU249" s="18" t="s">
        <v>87</v>
      </c>
    </row>
    <row r="250" spans="2:65" s="1" customFormat="1" ht="24.2" customHeight="1">
      <c r="B250" s="128"/>
      <c r="C250" s="129" t="s">
        <v>1117</v>
      </c>
      <c r="D250" s="129" t="s">
        <v>180</v>
      </c>
      <c r="E250" s="130" t="s">
        <v>4036</v>
      </c>
      <c r="F250" s="131" t="s">
        <v>4037</v>
      </c>
      <c r="G250" s="132" t="s">
        <v>476</v>
      </c>
      <c r="H250" s="133">
        <v>53</v>
      </c>
      <c r="I250" s="134"/>
      <c r="J250" s="135">
        <f>ROUND(I250*H250,2)</f>
        <v>0</v>
      </c>
      <c r="K250" s="131" t="s">
        <v>184</v>
      </c>
      <c r="L250" s="33"/>
      <c r="M250" s="136" t="s">
        <v>3</v>
      </c>
      <c r="N250" s="137" t="s">
        <v>48</v>
      </c>
      <c r="P250" s="138">
        <f>O250*H250</f>
        <v>0</v>
      </c>
      <c r="Q250" s="138">
        <v>0.0008423</v>
      </c>
      <c r="R250" s="138">
        <f>Q250*H250</f>
        <v>0.044641900000000005</v>
      </c>
      <c r="S250" s="138">
        <v>0</v>
      </c>
      <c r="T250" s="139">
        <f>S250*H250</f>
        <v>0</v>
      </c>
      <c r="AR250" s="140" t="s">
        <v>237</v>
      </c>
      <c r="AT250" s="140" t="s">
        <v>180</v>
      </c>
      <c r="AU250" s="140" t="s">
        <v>87</v>
      </c>
      <c r="AY250" s="18" t="s">
        <v>177</v>
      </c>
      <c r="BE250" s="141">
        <f>IF(N250="základní",J250,0)</f>
        <v>0</v>
      </c>
      <c r="BF250" s="141">
        <f>IF(N250="snížená",J250,0)</f>
        <v>0</v>
      </c>
      <c r="BG250" s="141">
        <f>IF(N250="zákl. přenesená",J250,0)</f>
        <v>0</v>
      </c>
      <c r="BH250" s="141">
        <f>IF(N250="sníž. přenesená",J250,0)</f>
        <v>0</v>
      </c>
      <c r="BI250" s="141">
        <f>IF(N250="nulová",J250,0)</f>
        <v>0</v>
      </c>
      <c r="BJ250" s="18" t="s">
        <v>85</v>
      </c>
      <c r="BK250" s="141">
        <f>ROUND(I250*H250,2)</f>
        <v>0</v>
      </c>
      <c r="BL250" s="18" t="s">
        <v>237</v>
      </c>
      <c r="BM250" s="140" t="s">
        <v>4038</v>
      </c>
    </row>
    <row r="251" spans="2:47" s="1" customFormat="1" ht="19.5">
      <c r="B251" s="33"/>
      <c r="D251" s="142" t="s">
        <v>187</v>
      </c>
      <c r="F251" s="143" t="s">
        <v>4039</v>
      </c>
      <c r="I251" s="144"/>
      <c r="L251" s="33"/>
      <c r="M251" s="145"/>
      <c r="T251" s="54"/>
      <c r="AT251" s="18" t="s">
        <v>187</v>
      </c>
      <c r="AU251" s="18" t="s">
        <v>87</v>
      </c>
    </row>
    <row r="252" spans="2:47" s="1" customFormat="1" ht="11.25">
      <c r="B252" s="33"/>
      <c r="D252" s="146" t="s">
        <v>189</v>
      </c>
      <c r="F252" s="147" t="s">
        <v>4040</v>
      </c>
      <c r="I252" s="144"/>
      <c r="L252" s="33"/>
      <c r="M252" s="145"/>
      <c r="T252" s="54"/>
      <c r="AT252" s="18" t="s">
        <v>189</v>
      </c>
      <c r="AU252" s="18" t="s">
        <v>87</v>
      </c>
    </row>
    <row r="253" spans="2:65" s="1" customFormat="1" ht="24.2" customHeight="1">
      <c r="B253" s="128"/>
      <c r="C253" s="129" t="s">
        <v>1124</v>
      </c>
      <c r="D253" s="129" t="s">
        <v>180</v>
      </c>
      <c r="E253" s="130" t="s">
        <v>4041</v>
      </c>
      <c r="F253" s="131" t="s">
        <v>4042</v>
      </c>
      <c r="G253" s="132" t="s">
        <v>476</v>
      </c>
      <c r="H253" s="133">
        <v>26</v>
      </c>
      <c r="I253" s="134"/>
      <c r="J253" s="135">
        <f>ROUND(I253*H253,2)</f>
        <v>0</v>
      </c>
      <c r="K253" s="131" t="s">
        <v>184</v>
      </c>
      <c r="L253" s="33"/>
      <c r="M253" s="136" t="s">
        <v>3</v>
      </c>
      <c r="N253" s="137" t="s">
        <v>48</v>
      </c>
      <c r="P253" s="138">
        <f>O253*H253</f>
        <v>0</v>
      </c>
      <c r="Q253" s="138">
        <v>0.0011591</v>
      </c>
      <c r="R253" s="138">
        <f>Q253*H253</f>
        <v>0.0301366</v>
      </c>
      <c r="S253" s="138">
        <v>0</v>
      </c>
      <c r="T253" s="139">
        <f>S253*H253</f>
        <v>0</v>
      </c>
      <c r="AR253" s="140" t="s">
        <v>237</v>
      </c>
      <c r="AT253" s="140" t="s">
        <v>180</v>
      </c>
      <c r="AU253" s="140" t="s">
        <v>87</v>
      </c>
      <c r="AY253" s="18" t="s">
        <v>177</v>
      </c>
      <c r="BE253" s="141">
        <f>IF(N253="základní",J253,0)</f>
        <v>0</v>
      </c>
      <c r="BF253" s="141">
        <f>IF(N253="snížená",J253,0)</f>
        <v>0</v>
      </c>
      <c r="BG253" s="141">
        <f>IF(N253="zákl. přenesená",J253,0)</f>
        <v>0</v>
      </c>
      <c r="BH253" s="141">
        <f>IF(N253="sníž. přenesená",J253,0)</f>
        <v>0</v>
      </c>
      <c r="BI253" s="141">
        <f>IF(N253="nulová",J253,0)</f>
        <v>0</v>
      </c>
      <c r="BJ253" s="18" t="s">
        <v>85</v>
      </c>
      <c r="BK253" s="141">
        <f>ROUND(I253*H253,2)</f>
        <v>0</v>
      </c>
      <c r="BL253" s="18" t="s">
        <v>237</v>
      </c>
      <c r="BM253" s="140" t="s">
        <v>4043</v>
      </c>
    </row>
    <row r="254" spans="2:47" s="1" customFormat="1" ht="19.5">
      <c r="B254" s="33"/>
      <c r="D254" s="142" t="s">
        <v>187</v>
      </c>
      <c r="F254" s="143" t="s">
        <v>4044</v>
      </c>
      <c r="I254" s="144"/>
      <c r="L254" s="33"/>
      <c r="M254" s="145"/>
      <c r="T254" s="54"/>
      <c r="AT254" s="18" t="s">
        <v>187</v>
      </c>
      <c r="AU254" s="18" t="s">
        <v>87</v>
      </c>
    </row>
    <row r="255" spans="2:47" s="1" customFormat="1" ht="11.25">
      <c r="B255" s="33"/>
      <c r="D255" s="146" t="s">
        <v>189</v>
      </c>
      <c r="F255" s="147" t="s">
        <v>4045</v>
      </c>
      <c r="I255" s="144"/>
      <c r="L255" s="33"/>
      <c r="M255" s="145"/>
      <c r="T255" s="54"/>
      <c r="AT255" s="18" t="s">
        <v>189</v>
      </c>
      <c r="AU255" s="18" t="s">
        <v>87</v>
      </c>
    </row>
    <row r="256" spans="2:65" s="1" customFormat="1" ht="24.2" customHeight="1">
      <c r="B256" s="128"/>
      <c r="C256" s="129" t="s">
        <v>1130</v>
      </c>
      <c r="D256" s="129" t="s">
        <v>180</v>
      </c>
      <c r="E256" s="130" t="s">
        <v>4046</v>
      </c>
      <c r="F256" s="131" t="s">
        <v>4047</v>
      </c>
      <c r="G256" s="132" t="s">
        <v>476</v>
      </c>
      <c r="H256" s="133">
        <v>8</v>
      </c>
      <c r="I256" s="134"/>
      <c r="J256" s="135">
        <f>ROUND(I256*H256,2)</f>
        <v>0</v>
      </c>
      <c r="K256" s="131" t="s">
        <v>184</v>
      </c>
      <c r="L256" s="33"/>
      <c r="M256" s="136" t="s">
        <v>3</v>
      </c>
      <c r="N256" s="137" t="s">
        <v>48</v>
      </c>
      <c r="P256" s="138">
        <f>O256*H256</f>
        <v>0</v>
      </c>
      <c r="Q256" s="138">
        <v>0.0014412</v>
      </c>
      <c r="R256" s="138">
        <f>Q256*H256</f>
        <v>0.0115296</v>
      </c>
      <c r="S256" s="138">
        <v>0</v>
      </c>
      <c r="T256" s="139">
        <f>S256*H256</f>
        <v>0</v>
      </c>
      <c r="AR256" s="140" t="s">
        <v>237</v>
      </c>
      <c r="AT256" s="140" t="s">
        <v>180</v>
      </c>
      <c r="AU256" s="140" t="s">
        <v>87</v>
      </c>
      <c r="AY256" s="18" t="s">
        <v>177</v>
      </c>
      <c r="BE256" s="141">
        <f>IF(N256="základní",J256,0)</f>
        <v>0</v>
      </c>
      <c r="BF256" s="141">
        <f>IF(N256="snížená",J256,0)</f>
        <v>0</v>
      </c>
      <c r="BG256" s="141">
        <f>IF(N256="zákl. přenesená",J256,0)</f>
        <v>0</v>
      </c>
      <c r="BH256" s="141">
        <f>IF(N256="sníž. přenesená",J256,0)</f>
        <v>0</v>
      </c>
      <c r="BI256" s="141">
        <f>IF(N256="nulová",J256,0)</f>
        <v>0</v>
      </c>
      <c r="BJ256" s="18" t="s">
        <v>85</v>
      </c>
      <c r="BK256" s="141">
        <f>ROUND(I256*H256,2)</f>
        <v>0</v>
      </c>
      <c r="BL256" s="18" t="s">
        <v>237</v>
      </c>
      <c r="BM256" s="140" t="s">
        <v>4048</v>
      </c>
    </row>
    <row r="257" spans="2:47" s="1" customFormat="1" ht="19.5">
      <c r="B257" s="33"/>
      <c r="D257" s="142" t="s">
        <v>187</v>
      </c>
      <c r="F257" s="143" t="s">
        <v>4049</v>
      </c>
      <c r="I257" s="144"/>
      <c r="L257" s="33"/>
      <c r="M257" s="145"/>
      <c r="T257" s="54"/>
      <c r="AT257" s="18" t="s">
        <v>187</v>
      </c>
      <c r="AU257" s="18" t="s">
        <v>87</v>
      </c>
    </row>
    <row r="258" spans="2:47" s="1" customFormat="1" ht="11.25">
      <c r="B258" s="33"/>
      <c r="D258" s="146" t="s">
        <v>189</v>
      </c>
      <c r="F258" s="147" t="s">
        <v>4050</v>
      </c>
      <c r="I258" s="144"/>
      <c r="L258" s="33"/>
      <c r="M258" s="145"/>
      <c r="T258" s="54"/>
      <c r="AT258" s="18" t="s">
        <v>189</v>
      </c>
      <c r="AU258" s="18" t="s">
        <v>87</v>
      </c>
    </row>
    <row r="259" spans="2:65" s="1" customFormat="1" ht="24.2" customHeight="1">
      <c r="B259" s="128"/>
      <c r="C259" s="129" t="s">
        <v>1132</v>
      </c>
      <c r="D259" s="129" t="s">
        <v>180</v>
      </c>
      <c r="E259" s="130" t="s">
        <v>4051</v>
      </c>
      <c r="F259" s="131" t="s">
        <v>4052</v>
      </c>
      <c r="G259" s="132" t="s">
        <v>476</v>
      </c>
      <c r="H259" s="133">
        <v>25</v>
      </c>
      <c r="I259" s="134"/>
      <c r="J259" s="135">
        <f>ROUND(I259*H259,2)</f>
        <v>0</v>
      </c>
      <c r="K259" s="131" t="s">
        <v>184</v>
      </c>
      <c r="L259" s="33"/>
      <c r="M259" s="136" t="s">
        <v>3</v>
      </c>
      <c r="N259" s="137" t="s">
        <v>48</v>
      </c>
      <c r="P259" s="138">
        <f>O259*H259</f>
        <v>0</v>
      </c>
      <c r="Q259" s="138">
        <v>0.00281004</v>
      </c>
      <c r="R259" s="138">
        <f>Q259*H259</f>
        <v>0.07025100000000001</v>
      </c>
      <c r="S259" s="138">
        <v>0</v>
      </c>
      <c r="T259" s="139">
        <f>S259*H259</f>
        <v>0</v>
      </c>
      <c r="AR259" s="140" t="s">
        <v>237</v>
      </c>
      <c r="AT259" s="140" t="s">
        <v>180</v>
      </c>
      <c r="AU259" s="140" t="s">
        <v>87</v>
      </c>
      <c r="AY259" s="18" t="s">
        <v>177</v>
      </c>
      <c r="BE259" s="141">
        <f>IF(N259="základní",J259,0)</f>
        <v>0</v>
      </c>
      <c r="BF259" s="141">
        <f>IF(N259="snížená",J259,0)</f>
        <v>0</v>
      </c>
      <c r="BG259" s="141">
        <f>IF(N259="zákl. přenesená",J259,0)</f>
        <v>0</v>
      </c>
      <c r="BH259" s="141">
        <f>IF(N259="sníž. přenesená",J259,0)</f>
        <v>0</v>
      </c>
      <c r="BI259" s="141">
        <f>IF(N259="nulová",J259,0)</f>
        <v>0</v>
      </c>
      <c r="BJ259" s="18" t="s">
        <v>85</v>
      </c>
      <c r="BK259" s="141">
        <f>ROUND(I259*H259,2)</f>
        <v>0</v>
      </c>
      <c r="BL259" s="18" t="s">
        <v>237</v>
      </c>
      <c r="BM259" s="140" t="s">
        <v>4053</v>
      </c>
    </row>
    <row r="260" spans="2:47" s="1" customFormat="1" ht="19.5">
      <c r="B260" s="33"/>
      <c r="D260" s="142" t="s">
        <v>187</v>
      </c>
      <c r="F260" s="143" t="s">
        <v>4054</v>
      </c>
      <c r="I260" s="144"/>
      <c r="L260" s="33"/>
      <c r="M260" s="145"/>
      <c r="T260" s="54"/>
      <c r="AT260" s="18" t="s">
        <v>187</v>
      </c>
      <c r="AU260" s="18" t="s">
        <v>87</v>
      </c>
    </row>
    <row r="261" spans="2:47" s="1" customFormat="1" ht="11.25">
      <c r="B261" s="33"/>
      <c r="D261" s="146" t="s">
        <v>189</v>
      </c>
      <c r="F261" s="147" t="s">
        <v>4055</v>
      </c>
      <c r="I261" s="144"/>
      <c r="L261" s="33"/>
      <c r="M261" s="145"/>
      <c r="T261" s="54"/>
      <c r="AT261" s="18" t="s">
        <v>189</v>
      </c>
      <c r="AU261" s="18" t="s">
        <v>87</v>
      </c>
    </row>
    <row r="262" spans="2:65" s="1" customFormat="1" ht="24.2" customHeight="1">
      <c r="B262" s="128"/>
      <c r="C262" s="129" t="s">
        <v>1134</v>
      </c>
      <c r="D262" s="129" t="s">
        <v>180</v>
      </c>
      <c r="E262" s="130" t="s">
        <v>4056</v>
      </c>
      <c r="F262" s="131" t="s">
        <v>4057</v>
      </c>
      <c r="G262" s="132" t="s">
        <v>476</v>
      </c>
      <c r="H262" s="133">
        <v>61</v>
      </c>
      <c r="I262" s="134"/>
      <c r="J262" s="135">
        <f>ROUND(I262*H262,2)</f>
        <v>0</v>
      </c>
      <c r="K262" s="131" t="s">
        <v>184</v>
      </c>
      <c r="L262" s="33"/>
      <c r="M262" s="136" t="s">
        <v>3</v>
      </c>
      <c r="N262" s="137" t="s">
        <v>48</v>
      </c>
      <c r="P262" s="138">
        <f>O262*H262</f>
        <v>0</v>
      </c>
      <c r="Q262" s="138">
        <v>0.000976972</v>
      </c>
      <c r="R262" s="138">
        <f>Q262*H262</f>
        <v>0.059595292</v>
      </c>
      <c r="S262" s="138">
        <v>0</v>
      </c>
      <c r="T262" s="139">
        <f>S262*H262</f>
        <v>0</v>
      </c>
      <c r="AR262" s="140" t="s">
        <v>237</v>
      </c>
      <c r="AT262" s="140" t="s">
        <v>180</v>
      </c>
      <c r="AU262" s="140" t="s">
        <v>87</v>
      </c>
      <c r="AY262" s="18" t="s">
        <v>177</v>
      </c>
      <c r="BE262" s="141">
        <f>IF(N262="základní",J262,0)</f>
        <v>0</v>
      </c>
      <c r="BF262" s="141">
        <f>IF(N262="snížená",J262,0)</f>
        <v>0</v>
      </c>
      <c r="BG262" s="141">
        <f>IF(N262="zákl. přenesená",J262,0)</f>
        <v>0</v>
      </c>
      <c r="BH262" s="141">
        <f>IF(N262="sníž. přenesená",J262,0)</f>
        <v>0</v>
      </c>
      <c r="BI262" s="141">
        <f>IF(N262="nulová",J262,0)</f>
        <v>0</v>
      </c>
      <c r="BJ262" s="18" t="s">
        <v>85</v>
      </c>
      <c r="BK262" s="141">
        <f>ROUND(I262*H262,2)</f>
        <v>0</v>
      </c>
      <c r="BL262" s="18" t="s">
        <v>237</v>
      </c>
      <c r="BM262" s="140" t="s">
        <v>4058</v>
      </c>
    </row>
    <row r="263" spans="2:47" s="1" customFormat="1" ht="19.5">
      <c r="B263" s="33"/>
      <c r="D263" s="142" t="s">
        <v>187</v>
      </c>
      <c r="F263" s="143" t="s">
        <v>4059</v>
      </c>
      <c r="I263" s="144"/>
      <c r="L263" s="33"/>
      <c r="M263" s="145"/>
      <c r="T263" s="54"/>
      <c r="AT263" s="18" t="s">
        <v>187</v>
      </c>
      <c r="AU263" s="18" t="s">
        <v>87</v>
      </c>
    </row>
    <row r="264" spans="2:47" s="1" customFormat="1" ht="11.25">
      <c r="B264" s="33"/>
      <c r="D264" s="146" t="s">
        <v>189</v>
      </c>
      <c r="F264" s="147" t="s">
        <v>4060</v>
      </c>
      <c r="I264" s="144"/>
      <c r="L264" s="33"/>
      <c r="M264" s="145"/>
      <c r="T264" s="54"/>
      <c r="AT264" s="18" t="s">
        <v>189</v>
      </c>
      <c r="AU264" s="18" t="s">
        <v>87</v>
      </c>
    </row>
    <row r="265" spans="2:65" s="1" customFormat="1" ht="24.2" customHeight="1">
      <c r="B265" s="128"/>
      <c r="C265" s="129" t="s">
        <v>1140</v>
      </c>
      <c r="D265" s="129" t="s">
        <v>180</v>
      </c>
      <c r="E265" s="130" t="s">
        <v>4061</v>
      </c>
      <c r="F265" s="131" t="s">
        <v>4062</v>
      </c>
      <c r="G265" s="132" t="s">
        <v>476</v>
      </c>
      <c r="H265" s="133">
        <v>9</v>
      </c>
      <c r="I265" s="134"/>
      <c r="J265" s="135">
        <f>ROUND(I265*H265,2)</f>
        <v>0</v>
      </c>
      <c r="K265" s="131" t="s">
        <v>184</v>
      </c>
      <c r="L265" s="33"/>
      <c r="M265" s="136" t="s">
        <v>3</v>
      </c>
      <c r="N265" s="137" t="s">
        <v>48</v>
      </c>
      <c r="P265" s="138">
        <f>O265*H265</f>
        <v>0</v>
      </c>
      <c r="Q265" s="138">
        <v>0.0012616</v>
      </c>
      <c r="R265" s="138">
        <f>Q265*H265</f>
        <v>0.0113544</v>
      </c>
      <c r="S265" s="138">
        <v>0</v>
      </c>
      <c r="T265" s="139">
        <f>S265*H265</f>
        <v>0</v>
      </c>
      <c r="AR265" s="140" t="s">
        <v>237</v>
      </c>
      <c r="AT265" s="140" t="s">
        <v>180</v>
      </c>
      <c r="AU265" s="140" t="s">
        <v>87</v>
      </c>
      <c r="AY265" s="18" t="s">
        <v>177</v>
      </c>
      <c r="BE265" s="141">
        <f>IF(N265="základní",J265,0)</f>
        <v>0</v>
      </c>
      <c r="BF265" s="141">
        <f>IF(N265="snížená",J265,0)</f>
        <v>0</v>
      </c>
      <c r="BG265" s="141">
        <f>IF(N265="zákl. přenesená",J265,0)</f>
        <v>0</v>
      </c>
      <c r="BH265" s="141">
        <f>IF(N265="sníž. přenesená",J265,0)</f>
        <v>0</v>
      </c>
      <c r="BI265" s="141">
        <f>IF(N265="nulová",J265,0)</f>
        <v>0</v>
      </c>
      <c r="BJ265" s="18" t="s">
        <v>85</v>
      </c>
      <c r="BK265" s="141">
        <f>ROUND(I265*H265,2)</f>
        <v>0</v>
      </c>
      <c r="BL265" s="18" t="s">
        <v>237</v>
      </c>
      <c r="BM265" s="140" t="s">
        <v>4063</v>
      </c>
    </row>
    <row r="266" spans="2:47" s="1" customFormat="1" ht="19.5">
      <c r="B266" s="33"/>
      <c r="D266" s="142" t="s">
        <v>187</v>
      </c>
      <c r="F266" s="143" t="s">
        <v>4064</v>
      </c>
      <c r="I266" s="144"/>
      <c r="L266" s="33"/>
      <c r="M266" s="145"/>
      <c r="T266" s="54"/>
      <c r="AT266" s="18" t="s">
        <v>187</v>
      </c>
      <c r="AU266" s="18" t="s">
        <v>87</v>
      </c>
    </row>
    <row r="267" spans="2:47" s="1" customFormat="1" ht="11.25">
      <c r="B267" s="33"/>
      <c r="D267" s="146" t="s">
        <v>189</v>
      </c>
      <c r="F267" s="147" t="s">
        <v>4065</v>
      </c>
      <c r="I267" s="144"/>
      <c r="L267" s="33"/>
      <c r="M267" s="145"/>
      <c r="T267" s="54"/>
      <c r="AT267" s="18" t="s">
        <v>189</v>
      </c>
      <c r="AU267" s="18" t="s">
        <v>87</v>
      </c>
    </row>
    <row r="268" spans="2:65" s="1" customFormat="1" ht="24.2" customHeight="1">
      <c r="B268" s="128"/>
      <c r="C268" s="129" t="s">
        <v>1144</v>
      </c>
      <c r="D268" s="129" t="s">
        <v>180</v>
      </c>
      <c r="E268" s="130" t="s">
        <v>4066</v>
      </c>
      <c r="F268" s="131" t="s">
        <v>4067</v>
      </c>
      <c r="G268" s="132" t="s">
        <v>476</v>
      </c>
      <c r="H268" s="133">
        <v>1</v>
      </c>
      <c r="I268" s="134"/>
      <c r="J268" s="135">
        <f>ROUND(I268*H268,2)</f>
        <v>0</v>
      </c>
      <c r="K268" s="131" t="s">
        <v>184</v>
      </c>
      <c r="L268" s="33"/>
      <c r="M268" s="136" t="s">
        <v>3</v>
      </c>
      <c r="N268" s="137" t="s">
        <v>48</v>
      </c>
      <c r="P268" s="138">
        <f>O268*H268</f>
        <v>0</v>
      </c>
      <c r="Q268" s="138">
        <v>0.001525808</v>
      </c>
      <c r="R268" s="138">
        <f>Q268*H268</f>
        <v>0.001525808</v>
      </c>
      <c r="S268" s="138">
        <v>0</v>
      </c>
      <c r="T268" s="139">
        <f>S268*H268</f>
        <v>0</v>
      </c>
      <c r="AR268" s="140" t="s">
        <v>237</v>
      </c>
      <c r="AT268" s="140" t="s">
        <v>180</v>
      </c>
      <c r="AU268" s="140" t="s">
        <v>87</v>
      </c>
      <c r="AY268" s="18" t="s">
        <v>177</v>
      </c>
      <c r="BE268" s="141">
        <f>IF(N268="základní",J268,0)</f>
        <v>0</v>
      </c>
      <c r="BF268" s="141">
        <f>IF(N268="snížená",J268,0)</f>
        <v>0</v>
      </c>
      <c r="BG268" s="141">
        <f>IF(N268="zákl. přenesená",J268,0)</f>
        <v>0</v>
      </c>
      <c r="BH268" s="141">
        <f>IF(N268="sníž. přenesená",J268,0)</f>
        <v>0</v>
      </c>
      <c r="BI268" s="141">
        <f>IF(N268="nulová",J268,0)</f>
        <v>0</v>
      </c>
      <c r="BJ268" s="18" t="s">
        <v>85</v>
      </c>
      <c r="BK268" s="141">
        <f>ROUND(I268*H268,2)</f>
        <v>0</v>
      </c>
      <c r="BL268" s="18" t="s">
        <v>237</v>
      </c>
      <c r="BM268" s="140" t="s">
        <v>4068</v>
      </c>
    </row>
    <row r="269" spans="2:47" s="1" customFormat="1" ht="19.5">
      <c r="B269" s="33"/>
      <c r="D269" s="142" t="s">
        <v>187</v>
      </c>
      <c r="F269" s="143" t="s">
        <v>4069</v>
      </c>
      <c r="I269" s="144"/>
      <c r="L269" s="33"/>
      <c r="M269" s="145"/>
      <c r="T269" s="54"/>
      <c r="AT269" s="18" t="s">
        <v>187</v>
      </c>
      <c r="AU269" s="18" t="s">
        <v>87</v>
      </c>
    </row>
    <row r="270" spans="2:47" s="1" customFormat="1" ht="11.25">
      <c r="B270" s="33"/>
      <c r="D270" s="146" t="s">
        <v>189</v>
      </c>
      <c r="F270" s="147" t="s">
        <v>4070</v>
      </c>
      <c r="I270" s="144"/>
      <c r="L270" s="33"/>
      <c r="M270" s="145"/>
      <c r="T270" s="54"/>
      <c r="AT270" s="18" t="s">
        <v>189</v>
      </c>
      <c r="AU270" s="18" t="s">
        <v>87</v>
      </c>
    </row>
    <row r="271" spans="2:65" s="1" customFormat="1" ht="24.2" customHeight="1">
      <c r="B271" s="128"/>
      <c r="C271" s="129" t="s">
        <v>1148</v>
      </c>
      <c r="D271" s="129" t="s">
        <v>180</v>
      </c>
      <c r="E271" s="130" t="s">
        <v>4071</v>
      </c>
      <c r="F271" s="131" t="s">
        <v>4072</v>
      </c>
      <c r="G271" s="132" t="s">
        <v>236</v>
      </c>
      <c r="H271" s="133">
        <v>1</v>
      </c>
      <c r="I271" s="134"/>
      <c r="J271" s="135">
        <f>ROUND(I271*H271,2)</f>
        <v>0</v>
      </c>
      <c r="K271" s="131" t="s">
        <v>184</v>
      </c>
      <c r="L271" s="33"/>
      <c r="M271" s="136" t="s">
        <v>3</v>
      </c>
      <c r="N271" s="137" t="s">
        <v>48</v>
      </c>
      <c r="P271" s="138">
        <f>O271*H271</f>
        <v>0</v>
      </c>
      <c r="Q271" s="138">
        <v>0.000781</v>
      </c>
      <c r="R271" s="138">
        <f>Q271*H271</f>
        <v>0.000781</v>
      </c>
      <c r="S271" s="138">
        <v>0</v>
      </c>
      <c r="T271" s="139">
        <f>S271*H271</f>
        <v>0</v>
      </c>
      <c r="AR271" s="140" t="s">
        <v>237</v>
      </c>
      <c r="AT271" s="140" t="s">
        <v>180</v>
      </c>
      <c r="AU271" s="140" t="s">
        <v>87</v>
      </c>
      <c r="AY271" s="18" t="s">
        <v>177</v>
      </c>
      <c r="BE271" s="141">
        <f>IF(N271="základní",J271,0)</f>
        <v>0</v>
      </c>
      <c r="BF271" s="141">
        <f>IF(N271="snížená",J271,0)</f>
        <v>0</v>
      </c>
      <c r="BG271" s="141">
        <f>IF(N271="zákl. přenesená",J271,0)</f>
        <v>0</v>
      </c>
      <c r="BH271" s="141">
        <f>IF(N271="sníž. přenesená",J271,0)</f>
        <v>0</v>
      </c>
      <c r="BI271" s="141">
        <f>IF(N271="nulová",J271,0)</f>
        <v>0</v>
      </c>
      <c r="BJ271" s="18" t="s">
        <v>85</v>
      </c>
      <c r="BK271" s="141">
        <f>ROUND(I271*H271,2)</f>
        <v>0</v>
      </c>
      <c r="BL271" s="18" t="s">
        <v>237</v>
      </c>
      <c r="BM271" s="140" t="s">
        <v>4073</v>
      </c>
    </row>
    <row r="272" spans="2:47" s="1" customFormat="1" ht="19.5">
      <c r="B272" s="33"/>
      <c r="D272" s="142" t="s">
        <v>187</v>
      </c>
      <c r="F272" s="143" t="s">
        <v>4074</v>
      </c>
      <c r="I272" s="144"/>
      <c r="L272" s="33"/>
      <c r="M272" s="145"/>
      <c r="T272" s="54"/>
      <c r="AT272" s="18" t="s">
        <v>187</v>
      </c>
      <c r="AU272" s="18" t="s">
        <v>87</v>
      </c>
    </row>
    <row r="273" spans="2:47" s="1" customFormat="1" ht="11.25">
      <c r="B273" s="33"/>
      <c r="D273" s="146" t="s">
        <v>189</v>
      </c>
      <c r="F273" s="147" t="s">
        <v>4075</v>
      </c>
      <c r="I273" s="144"/>
      <c r="L273" s="33"/>
      <c r="M273" s="145"/>
      <c r="T273" s="54"/>
      <c r="AT273" s="18" t="s">
        <v>189</v>
      </c>
      <c r="AU273" s="18" t="s">
        <v>87</v>
      </c>
    </row>
    <row r="274" spans="2:65" s="1" customFormat="1" ht="24.2" customHeight="1">
      <c r="B274" s="128"/>
      <c r="C274" s="129" t="s">
        <v>1156</v>
      </c>
      <c r="D274" s="129" t="s">
        <v>180</v>
      </c>
      <c r="E274" s="130" t="s">
        <v>4076</v>
      </c>
      <c r="F274" s="131" t="s">
        <v>4077</v>
      </c>
      <c r="G274" s="132" t="s">
        <v>236</v>
      </c>
      <c r="H274" s="133">
        <v>1</v>
      </c>
      <c r="I274" s="134"/>
      <c r="J274" s="135">
        <f>ROUND(I274*H274,2)</f>
        <v>0</v>
      </c>
      <c r="K274" s="131" t="s">
        <v>184</v>
      </c>
      <c r="L274" s="33"/>
      <c r="M274" s="136" t="s">
        <v>3</v>
      </c>
      <c r="N274" s="137" t="s">
        <v>48</v>
      </c>
      <c r="P274" s="138">
        <f>O274*H274</f>
        <v>0</v>
      </c>
      <c r="Q274" s="138">
        <v>0.00147125</v>
      </c>
      <c r="R274" s="138">
        <f>Q274*H274</f>
        <v>0.00147125</v>
      </c>
      <c r="S274" s="138">
        <v>0</v>
      </c>
      <c r="T274" s="139">
        <f>S274*H274</f>
        <v>0</v>
      </c>
      <c r="AR274" s="140" t="s">
        <v>237</v>
      </c>
      <c r="AT274" s="140" t="s">
        <v>180</v>
      </c>
      <c r="AU274" s="140" t="s">
        <v>87</v>
      </c>
      <c r="AY274" s="18" t="s">
        <v>177</v>
      </c>
      <c r="BE274" s="141">
        <f>IF(N274="základní",J274,0)</f>
        <v>0</v>
      </c>
      <c r="BF274" s="141">
        <f>IF(N274="snížená",J274,0)</f>
        <v>0</v>
      </c>
      <c r="BG274" s="141">
        <f>IF(N274="zákl. přenesená",J274,0)</f>
        <v>0</v>
      </c>
      <c r="BH274" s="141">
        <f>IF(N274="sníž. přenesená",J274,0)</f>
        <v>0</v>
      </c>
      <c r="BI274" s="141">
        <f>IF(N274="nulová",J274,0)</f>
        <v>0</v>
      </c>
      <c r="BJ274" s="18" t="s">
        <v>85</v>
      </c>
      <c r="BK274" s="141">
        <f>ROUND(I274*H274,2)</f>
        <v>0</v>
      </c>
      <c r="BL274" s="18" t="s">
        <v>237</v>
      </c>
      <c r="BM274" s="140" t="s">
        <v>4078</v>
      </c>
    </row>
    <row r="275" spans="2:47" s="1" customFormat="1" ht="19.5">
      <c r="B275" s="33"/>
      <c r="D275" s="142" t="s">
        <v>187</v>
      </c>
      <c r="F275" s="143" t="s">
        <v>4079</v>
      </c>
      <c r="I275" s="144"/>
      <c r="L275" s="33"/>
      <c r="M275" s="145"/>
      <c r="T275" s="54"/>
      <c r="AT275" s="18" t="s">
        <v>187</v>
      </c>
      <c r="AU275" s="18" t="s">
        <v>87</v>
      </c>
    </row>
    <row r="276" spans="2:47" s="1" customFormat="1" ht="11.25">
      <c r="B276" s="33"/>
      <c r="D276" s="146" t="s">
        <v>189</v>
      </c>
      <c r="F276" s="147" t="s">
        <v>4080</v>
      </c>
      <c r="I276" s="144"/>
      <c r="L276" s="33"/>
      <c r="M276" s="145"/>
      <c r="T276" s="54"/>
      <c r="AT276" s="18" t="s">
        <v>189</v>
      </c>
      <c r="AU276" s="18" t="s">
        <v>87</v>
      </c>
    </row>
    <row r="277" spans="2:65" s="1" customFormat="1" ht="37.9" customHeight="1">
      <c r="B277" s="128"/>
      <c r="C277" s="129" t="s">
        <v>1164</v>
      </c>
      <c r="D277" s="129" t="s">
        <v>180</v>
      </c>
      <c r="E277" s="130" t="s">
        <v>4081</v>
      </c>
      <c r="F277" s="131" t="s">
        <v>4082</v>
      </c>
      <c r="G277" s="132" t="s">
        <v>476</v>
      </c>
      <c r="H277" s="133">
        <v>53</v>
      </c>
      <c r="I277" s="134"/>
      <c r="J277" s="135">
        <f>ROUND(I277*H277,2)</f>
        <v>0</v>
      </c>
      <c r="K277" s="131" t="s">
        <v>184</v>
      </c>
      <c r="L277" s="33"/>
      <c r="M277" s="136" t="s">
        <v>3</v>
      </c>
      <c r="N277" s="137" t="s">
        <v>48</v>
      </c>
      <c r="P277" s="138">
        <f>O277*H277</f>
        <v>0</v>
      </c>
      <c r="Q277" s="138">
        <v>4.206E-05</v>
      </c>
      <c r="R277" s="138">
        <f>Q277*H277</f>
        <v>0.00222918</v>
      </c>
      <c r="S277" s="138">
        <v>0</v>
      </c>
      <c r="T277" s="139">
        <f>S277*H277</f>
        <v>0</v>
      </c>
      <c r="AR277" s="140" t="s">
        <v>237</v>
      </c>
      <c r="AT277" s="140" t="s">
        <v>180</v>
      </c>
      <c r="AU277" s="140" t="s">
        <v>87</v>
      </c>
      <c r="AY277" s="18" t="s">
        <v>177</v>
      </c>
      <c r="BE277" s="141">
        <f>IF(N277="základní",J277,0)</f>
        <v>0</v>
      </c>
      <c r="BF277" s="141">
        <f>IF(N277="snížená",J277,0)</f>
        <v>0</v>
      </c>
      <c r="BG277" s="141">
        <f>IF(N277="zákl. přenesená",J277,0)</f>
        <v>0</v>
      </c>
      <c r="BH277" s="141">
        <f>IF(N277="sníž. přenesená",J277,0)</f>
        <v>0</v>
      </c>
      <c r="BI277" s="141">
        <f>IF(N277="nulová",J277,0)</f>
        <v>0</v>
      </c>
      <c r="BJ277" s="18" t="s">
        <v>85</v>
      </c>
      <c r="BK277" s="141">
        <f>ROUND(I277*H277,2)</f>
        <v>0</v>
      </c>
      <c r="BL277" s="18" t="s">
        <v>237</v>
      </c>
      <c r="BM277" s="140" t="s">
        <v>4083</v>
      </c>
    </row>
    <row r="278" spans="2:47" s="1" customFormat="1" ht="29.25">
      <c r="B278" s="33"/>
      <c r="D278" s="142" t="s">
        <v>187</v>
      </c>
      <c r="F278" s="143" t="s">
        <v>4084</v>
      </c>
      <c r="I278" s="144"/>
      <c r="L278" s="33"/>
      <c r="M278" s="145"/>
      <c r="T278" s="54"/>
      <c r="AT278" s="18" t="s">
        <v>187</v>
      </c>
      <c r="AU278" s="18" t="s">
        <v>87</v>
      </c>
    </row>
    <row r="279" spans="2:47" s="1" customFormat="1" ht="11.25">
      <c r="B279" s="33"/>
      <c r="D279" s="146" t="s">
        <v>189</v>
      </c>
      <c r="F279" s="147" t="s">
        <v>4085</v>
      </c>
      <c r="I279" s="144"/>
      <c r="L279" s="33"/>
      <c r="M279" s="145"/>
      <c r="T279" s="54"/>
      <c r="AT279" s="18" t="s">
        <v>189</v>
      </c>
      <c r="AU279" s="18" t="s">
        <v>87</v>
      </c>
    </row>
    <row r="280" spans="2:47" s="1" customFormat="1" ht="39">
      <c r="B280" s="33"/>
      <c r="D280" s="142" t="s">
        <v>191</v>
      </c>
      <c r="F280" s="148" t="s">
        <v>4086</v>
      </c>
      <c r="I280" s="144"/>
      <c r="L280" s="33"/>
      <c r="M280" s="145"/>
      <c r="T280" s="54"/>
      <c r="AT280" s="18" t="s">
        <v>191</v>
      </c>
      <c r="AU280" s="18" t="s">
        <v>87</v>
      </c>
    </row>
    <row r="281" spans="2:65" s="1" customFormat="1" ht="37.9" customHeight="1">
      <c r="B281" s="128"/>
      <c r="C281" s="129" t="s">
        <v>1167</v>
      </c>
      <c r="D281" s="129" t="s">
        <v>180</v>
      </c>
      <c r="E281" s="130" t="s">
        <v>4087</v>
      </c>
      <c r="F281" s="131" t="s">
        <v>4088</v>
      </c>
      <c r="G281" s="132" t="s">
        <v>476</v>
      </c>
      <c r="H281" s="133">
        <v>34</v>
      </c>
      <c r="I281" s="134"/>
      <c r="J281" s="135">
        <f>ROUND(I281*H281,2)</f>
        <v>0</v>
      </c>
      <c r="K281" s="131" t="s">
        <v>184</v>
      </c>
      <c r="L281" s="33"/>
      <c r="M281" s="136" t="s">
        <v>3</v>
      </c>
      <c r="N281" s="137" t="s">
        <v>48</v>
      </c>
      <c r="P281" s="138">
        <f>O281*H281</f>
        <v>0</v>
      </c>
      <c r="Q281" s="138">
        <v>4.225E-05</v>
      </c>
      <c r="R281" s="138">
        <f>Q281*H281</f>
        <v>0.0014364999999999998</v>
      </c>
      <c r="S281" s="138">
        <v>0</v>
      </c>
      <c r="T281" s="139">
        <f>S281*H281</f>
        <v>0</v>
      </c>
      <c r="AR281" s="140" t="s">
        <v>237</v>
      </c>
      <c r="AT281" s="140" t="s">
        <v>180</v>
      </c>
      <c r="AU281" s="140" t="s">
        <v>87</v>
      </c>
      <c r="AY281" s="18" t="s">
        <v>177</v>
      </c>
      <c r="BE281" s="141">
        <f>IF(N281="základní",J281,0)</f>
        <v>0</v>
      </c>
      <c r="BF281" s="141">
        <f>IF(N281="snížená",J281,0)</f>
        <v>0</v>
      </c>
      <c r="BG281" s="141">
        <f>IF(N281="zákl. přenesená",J281,0)</f>
        <v>0</v>
      </c>
      <c r="BH281" s="141">
        <f>IF(N281="sníž. přenesená",J281,0)</f>
        <v>0</v>
      </c>
      <c r="BI281" s="141">
        <f>IF(N281="nulová",J281,0)</f>
        <v>0</v>
      </c>
      <c r="BJ281" s="18" t="s">
        <v>85</v>
      </c>
      <c r="BK281" s="141">
        <f>ROUND(I281*H281,2)</f>
        <v>0</v>
      </c>
      <c r="BL281" s="18" t="s">
        <v>237</v>
      </c>
      <c r="BM281" s="140" t="s">
        <v>4089</v>
      </c>
    </row>
    <row r="282" spans="2:47" s="1" customFormat="1" ht="29.25">
      <c r="B282" s="33"/>
      <c r="D282" s="142" t="s">
        <v>187</v>
      </c>
      <c r="F282" s="143" t="s">
        <v>4090</v>
      </c>
      <c r="I282" s="144"/>
      <c r="L282" s="33"/>
      <c r="M282" s="145"/>
      <c r="T282" s="54"/>
      <c r="AT282" s="18" t="s">
        <v>187</v>
      </c>
      <c r="AU282" s="18" t="s">
        <v>87</v>
      </c>
    </row>
    <row r="283" spans="2:47" s="1" customFormat="1" ht="11.25">
      <c r="B283" s="33"/>
      <c r="D283" s="146" t="s">
        <v>189</v>
      </c>
      <c r="F283" s="147" t="s">
        <v>4091</v>
      </c>
      <c r="I283" s="144"/>
      <c r="L283" s="33"/>
      <c r="M283" s="145"/>
      <c r="T283" s="54"/>
      <c r="AT283" s="18" t="s">
        <v>189</v>
      </c>
      <c r="AU283" s="18" t="s">
        <v>87</v>
      </c>
    </row>
    <row r="284" spans="2:47" s="1" customFormat="1" ht="39">
      <c r="B284" s="33"/>
      <c r="D284" s="142" t="s">
        <v>191</v>
      </c>
      <c r="F284" s="148" t="s">
        <v>4086</v>
      </c>
      <c r="I284" s="144"/>
      <c r="L284" s="33"/>
      <c r="M284" s="145"/>
      <c r="T284" s="54"/>
      <c r="AT284" s="18" t="s">
        <v>191</v>
      </c>
      <c r="AU284" s="18" t="s">
        <v>87</v>
      </c>
    </row>
    <row r="285" spans="2:65" s="1" customFormat="1" ht="37.9" customHeight="1">
      <c r="B285" s="128"/>
      <c r="C285" s="129" t="s">
        <v>1173</v>
      </c>
      <c r="D285" s="129" t="s">
        <v>180</v>
      </c>
      <c r="E285" s="130" t="s">
        <v>4092</v>
      </c>
      <c r="F285" s="131" t="s">
        <v>4093</v>
      </c>
      <c r="G285" s="132" t="s">
        <v>476</v>
      </c>
      <c r="H285" s="133">
        <v>25</v>
      </c>
      <c r="I285" s="134"/>
      <c r="J285" s="135">
        <f>ROUND(I285*H285,2)</f>
        <v>0</v>
      </c>
      <c r="K285" s="131" t="s">
        <v>184</v>
      </c>
      <c r="L285" s="33"/>
      <c r="M285" s="136" t="s">
        <v>3</v>
      </c>
      <c r="N285" s="137" t="s">
        <v>48</v>
      </c>
      <c r="P285" s="138">
        <f>O285*H285</f>
        <v>0</v>
      </c>
      <c r="Q285" s="138">
        <v>4.244E-05</v>
      </c>
      <c r="R285" s="138">
        <f>Q285*H285</f>
        <v>0.001061</v>
      </c>
      <c r="S285" s="138">
        <v>0</v>
      </c>
      <c r="T285" s="139">
        <f>S285*H285</f>
        <v>0</v>
      </c>
      <c r="AR285" s="140" t="s">
        <v>237</v>
      </c>
      <c r="AT285" s="140" t="s">
        <v>180</v>
      </c>
      <c r="AU285" s="140" t="s">
        <v>87</v>
      </c>
      <c r="AY285" s="18" t="s">
        <v>177</v>
      </c>
      <c r="BE285" s="141">
        <f>IF(N285="základní",J285,0)</f>
        <v>0</v>
      </c>
      <c r="BF285" s="141">
        <f>IF(N285="snížená",J285,0)</f>
        <v>0</v>
      </c>
      <c r="BG285" s="141">
        <f>IF(N285="zákl. přenesená",J285,0)</f>
        <v>0</v>
      </c>
      <c r="BH285" s="141">
        <f>IF(N285="sníž. přenesená",J285,0)</f>
        <v>0</v>
      </c>
      <c r="BI285" s="141">
        <f>IF(N285="nulová",J285,0)</f>
        <v>0</v>
      </c>
      <c r="BJ285" s="18" t="s">
        <v>85</v>
      </c>
      <c r="BK285" s="141">
        <f>ROUND(I285*H285,2)</f>
        <v>0</v>
      </c>
      <c r="BL285" s="18" t="s">
        <v>237</v>
      </c>
      <c r="BM285" s="140" t="s">
        <v>4094</v>
      </c>
    </row>
    <row r="286" spans="2:47" s="1" customFormat="1" ht="29.25">
      <c r="B286" s="33"/>
      <c r="D286" s="142" t="s">
        <v>187</v>
      </c>
      <c r="F286" s="143" t="s">
        <v>4095</v>
      </c>
      <c r="I286" s="144"/>
      <c r="L286" s="33"/>
      <c r="M286" s="145"/>
      <c r="T286" s="54"/>
      <c r="AT286" s="18" t="s">
        <v>187</v>
      </c>
      <c r="AU286" s="18" t="s">
        <v>87</v>
      </c>
    </row>
    <row r="287" spans="2:47" s="1" customFormat="1" ht="11.25">
      <c r="B287" s="33"/>
      <c r="D287" s="146" t="s">
        <v>189</v>
      </c>
      <c r="F287" s="147" t="s">
        <v>4096</v>
      </c>
      <c r="I287" s="144"/>
      <c r="L287" s="33"/>
      <c r="M287" s="145"/>
      <c r="T287" s="54"/>
      <c r="AT287" s="18" t="s">
        <v>189</v>
      </c>
      <c r="AU287" s="18" t="s">
        <v>87</v>
      </c>
    </row>
    <row r="288" spans="2:47" s="1" customFormat="1" ht="39">
      <c r="B288" s="33"/>
      <c r="D288" s="142" t="s">
        <v>191</v>
      </c>
      <c r="F288" s="148" t="s">
        <v>4086</v>
      </c>
      <c r="I288" s="144"/>
      <c r="L288" s="33"/>
      <c r="M288" s="145"/>
      <c r="T288" s="54"/>
      <c r="AT288" s="18" t="s">
        <v>191</v>
      </c>
      <c r="AU288" s="18" t="s">
        <v>87</v>
      </c>
    </row>
    <row r="289" spans="2:65" s="1" customFormat="1" ht="37.9" customHeight="1">
      <c r="B289" s="128"/>
      <c r="C289" s="129" t="s">
        <v>1177</v>
      </c>
      <c r="D289" s="129" t="s">
        <v>180</v>
      </c>
      <c r="E289" s="130" t="s">
        <v>4097</v>
      </c>
      <c r="F289" s="131" t="s">
        <v>4098</v>
      </c>
      <c r="G289" s="132" t="s">
        <v>476</v>
      </c>
      <c r="H289" s="133">
        <v>61</v>
      </c>
      <c r="I289" s="134"/>
      <c r="J289" s="135">
        <f>ROUND(I289*H289,2)</f>
        <v>0</v>
      </c>
      <c r="K289" s="131" t="s">
        <v>184</v>
      </c>
      <c r="L289" s="33"/>
      <c r="M289" s="136" t="s">
        <v>3</v>
      </c>
      <c r="N289" s="137" t="s">
        <v>48</v>
      </c>
      <c r="P289" s="138">
        <f>O289*H289</f>
        <v>0</v>
      </c>
      <c r="Q289" s="138">
        <v>0.00012156</v>
      </c>
      <c r="R289" s="138">
        <f>Q289*H289</f>
        <v>0.00741516</v>
      </c>
      <c r="S289" s="138">
        <v>0</v>
      </c>
      <c r="T289" s="139">
        <f>S289*H289</f>
        <v>0</v>
      </c>
      <c r="AR289" s="140" t="s">
        <v>237</v>
      </c>
      <c r="AT289" s="140" t="s">
        <v>180</v>
      </c>
      <c r="AU289" s="140" t="s">
        <v>87</v>
      </c>
      <c r="AY289" s="18" t="s">
        <v>177</v>
      </c>
      <c r="BE289" s="141">
        <f>IF(N289="základní",J289,0)</f>
        <v>0</v>
      </c>
      <c r="BF289" s="141">
        <f>IF(N289="snížená",J289,0)</f>
        <v>0</v>
      </c>
      <c r="BG289" s="141">
        <f>IF(N289="zákl. přenesená",J289,0)</f>
        <v>0</v>
      </c>
      <c r="BH289" s="141">
        <f>IF(N289="sníž. přenesená",J289,0)</f>
        <v>0</v>
      </c>
      <c r="BI289" s="141">
        <f>IF(N289="nulová",J289,0)</f>
        <v>0</v>
      </c>
      <c r="BJ289" s="18" t="s">
        <v>85</v>
      </c>
      <c r="BK289" s="141">
        <f>ROUND(I289*H289,2)</f>
        <v>0</v>
      </c>
      <c r="BL289" s="18" t="s">
        <v>237</v>
      </c>
      <c r="BM289" s="140" t="s">
        <v>4099</v>
      </c>
    </row>
    <row r="290" spans="2:47" s="1" customFormat="1" ht="29.25">
      <c r="B290" s="33"/>
      <c r="D290" s="142" t="s">
        <v>187</v>
      </c>
      <c r="F290" s="143" t="s">
        <v>4100</v>
      </c>
      <c r="I290" s="144"/>
      <c r="L290" s="33"/>
      <c r="M290" s="145"/>
      <c r="T290" s="54"/>
      <c r="AT290" s="18" t="s">
        <v>187</v>
      </c>
      <c r="AU290" s="18" t="s">
        <v>87</v>
      </c>
    </row>
    <row r="291" spans="2:47" s="1" customFormat="1" ht="11.25">
      <c r="B291" s="33"/>
      <c r="D291" s="146" t="s">
        <v>189</v>
      </c>
      <c r="F291" s="147" t="s">
        <v>4101</v>
      </c>
      <c r="I291" s="144"/>
      <c r="L291" s="33"/>
      <c r="M291" s="145"/>
      <c r="T291" s="54"/>
      <c r="AT291" s="18" t="s">
        <v>189</v>
      </c>
      <c r="AU291" s="18" t="s">
        <v>87</v>
      </c>
    </row>
    <row r="292" spans="2:47" s="1" customFormat="1" ht="39">
      <c r="B292" s="33"/>
      <c r="D292" s="142" t="s">
        <v>191</v>
      </c>
      <c r="F292" s="148" t="s">
        <v>4086</v>
      </c>
      <c r="I292" s="144"/>
      <c r="L292" s="33"/>
      <c r="M292" s="145"/>
      <c r="T292" s="54"/>
      <c r="AT292" s="18" t="s">
        <v>191</v>
      </c>
      <c r="AU292" s="18" t="s">
        <v>87</v>
      </c>
    </row>
    <row r="293" spans="2:65" s="1" customFormat="1" ht="37.9" customHeight="1">
      <c r="B293" s="128"/>
      <c r="C293" s="129" t="s">
        <v>1180</v>
      </c>
      <c r="D293" s="129" t="s">
        <v>180</v>
      </c>
      <c r="E293" s="130" t="s">
        <v>4102</v>
      </c>
      <c r="F293" s="131" t="s">
        <v>4103</v>
      </c>
      <c r="G293" s="132" t="s">
        <v>476</v>
      </c>
      <c r="H293" s="133">
        <v>10</v>
      </c>
      <c r="I293" s="134"/>
      <c r="J293" s="135">
        <f>ROUND(I293*H293,2)</f>
        <v>0</v>
      </c>
      <c r="K293" s="131" t="s">
        <v>184</v>
      </c>
      <c r="L293" s="33"/>
      <c r="M293" s="136" t="s">
        <v>3</v>
      </c>
      <c r="N293" s="137" t="s">
        <v>48</v>
      </c>
      <c r="P293" s="138">
        <f>O293*H293</f>
        <v>0</v>
      </c>
      <c r="Q293" s="138">
        <v>0.00024078</v>
      </c>
      <c r="R293" s="138">
        <f>Q293*H293</f>
        <v>0.0024078</v>
      </c>
      <c r="S293" s="138">
        <v>0</v>
      </c>
      <c r="T293" s="139">
        <f>S293*H293</f>
        <v>0</v>
      </c>
      <c r="AR293" s="140" t="s">
        <v>237</v>
      </c>
      <c r="AT293" s="140" t="s">
        <v>180</v>
      </c>
      <c r="AU293" s="140" t="s">
        <v>87</v>
      </c>
      <c r="AY293" s="18" t="s">
        <v>177</v>
      </c>
      <c r="BE293" s="141">
        <f>IF(N293="základní",J293,0)</f>
        <v>0</v>
      </c>
      <c r="BF293" s="141">
        <f>IF(N293="snížená",J293,0)</f>
        <v>0</v>
      </c>
      <c r="BG293" s="141">
        <f>IF(N293="zákl. přenesená",J293,0)</f>
        <v>0</v>
      </c>
      <c r="BH293" s="141">
        <f>IF(N293="sníž. přenesená",J293,0)</f>
        <v>0</v>
      </c>
      <c r="BI293" s="141">
        <f>IF(N293="nulová",J293,0)</f>
        <v>0</v>
      </c>
      <c r="BJ293" s="18" t="s">
        <v>85</v>
      </c>
      <c r="BK293" s="141">
        <f>ROUND(I293*H293,2)</f>
        <v>0</v>
      </c>
      <c r="BL293" s="18" t="s">
        <v>237</v>
      </c>
      <c r="BM293" s="140" t="s">
        <v>4104</v>
      </c>
    </row>
    <row r="294" spans="2:47" s="1" customFormat="1" ht="29.25">
      <c r="B294" s="33"/>
      <c r="D294" s="142" t="s">
        <v>187</v>
      </c>
      <c r="F294" s="143" t="s">
        <v>4105</v>
      </c>
      <c r="I294" s="144"/>
      <c r="L294" s="33"/>
      <c r="M294" s="145"/>
      <c r="T294" s="54"/>
      <c r="AT294" s="18" t="s">
        <v>187</v>
      </c>
      <c r="AU294" s="18" t="s">
        <v>87</v>
      </c>
    </row>
    <row r="295" spans="2:47" s="1" customFormat="1" ht="11.25">
      <c r="B295" s="33"/>
      <c r="D295" s="146" t="s">
        <v>189</v>
      </c>
      <c r="F295" s="147" t="s">
        <v>4106</v>
      </c>
      <c r="I295" s="144"/>
      <c r="L295" s="33"/>
      <c r="M295" s="145"/>
      <c r="T295" s="54"/>
      <c r="AT295" s="18" t="s">
        <v>189</v>
      </c>
      <c r="AU295" s="18" t="s">
        <v>87</v>
      </c>
    </row>
    <row r="296" spans="2:47" s="1" customFormat="1" ht="39">
      <c r="B296" s="33"/>
      <c r="D296" s="142" t="s">
        <v>191</v>
      </c>
      <c r="F296" s="148" t="s">
        <v>4086</v>
      </c>
      <c r="I296" s="144"/>
      <c r="L296" s="33"/>
      <c r="M296" s="145"/>
      <c r="T296" s="54"/>
      <c r="AT296" s="18" t="s">
        <v>191</v>
      </c>
      <c r="AU296" s="18" t="s">
        <v>87</v>
      </c>
    </row>
    <row r="297" spans="2:65" s="1" customFormat="1" ht="24.2" customHeight="1">
      <c r="B297" s="128"/>
      <c r="C297" s="129" t="s">
        <v>1183</v>
      </c>
      <c r="D297" s="129" t="s">
        <v>180</v>
      </c>
      <c r="E297" s="130" t="s">
        <v>4107</v>
      </c>
      <c r="F297" s="131" t="s">
        <v>4108</v>
      </c>
      <c r="G297" s="132" t="s">
        <v>236</v>
      </c>
      <c r="H297" s="133">
        <v>4</v>
      </c>
      <c r="I297" s="134"/>
      <c r="J297" s="135">
        <f>ROUND(I297*H297,2)</f>
        <v>0</v>
      </c>
      <c r="K297" s="131" t="s">
        <v>184</v>
      </c>
      <c r="L297" s="33"/>
      <c r="M297" s="136" t="s">
        <v>3</v>
      </c>
      <c r="N297" s="137" t="s">
        <v>48</v>
      </c>
      <c r="P297" s="138">
        <f>O297*H297</f>
        <v>0</v>
      </c>
      <c r="Q297" s="138">
        <v>6E-05</v>
      </c>
      <c r="R297" s="138">
        <f>Q297*H297</f>
        <v>0.00024</v>
      </c>
      <c r="S297" s="138">
        <v>0</v>
      </c>
      <c r="T297" s="139">
        <f>S297*H297</f>
        <v>0</v>
      </c>
      <c r="AR297" s="140" t="s">
        <v>237</v>
      </c>
      <c r="AT297" s="140" t="s">
        <v>180</v>
      </c>
      <c r="AU297" s="140" t="s">
        <v>87</v>
      </c>
      <c r="AY297" s="18" t="s">
        <v>177</v>
      </c>
      <c r="BE297" s="141">
        <f>IF(N297="základní",J297,0)</f>
        <v>0</v>
      </c>
      <c r="BF297" s="141">
        <f>IF(N297="snížená",J297,0)</f>
        <v>0</v>
      </c>
      <c r="BG297" s="141">
        <f>IF(N297="zákl. přenesená",J297,0)</f>
        <v>0</v>
      </c>
      <c r="BH297" s="141">
        <f>IF(N297="sníž. přenesená",J297,0)</f>
        <v>0</v>
      </c>
      <c r="BI297" s="141">
        <f>IF(N297="nulová",J297,0)</f>
        <v>0</v>
      </c>
      <c r="BJ297" s="18" t="s">
        <v>85</v>
      </c>
      <c r="BK297" s="141">
        <f>ROUND(I297*H297,2)</f>
        <v>0</v>
      </c>
      <c r="BL297" s="18" t="s">
        <v>237</v>
      </c>
      <c r="BM297" s="140" t="s">
        <v>4109</v>
      </c>
    </row>
    <row r="298" spans="2:47" s="1" customFormat="1" ht="19.5">
      <c r="B298" s="33"/>
      <c r="D298" s="142" t="s">
        <v>187</v>
      </c>
      <c r="F298" s="143" t="s">
        <v>4110</v>
      </c>
      <c r="I298" s="144"/>
      <c r="L298" s="33"/>
      <c r="M298" s="145"/>
      <c r="T298" s="54"/>
      <c r="AT298" s="18" t="s">
        <v>187</v>
      </c>
      <c r="AU298" s="18" t="s">
        <v>87</v>
      </c>
    </row>
    <row r="299" spans="2:47" s="1" customFormat="1" ht="11.25">
      <c r="B299" s="33"/>
      <c r="D299" s="146" t="s">
        <v>189</v>
      </c>
      <c r="F299" s="147" t="s">
        <v>4111</v>
      </c>
      <c r="I299" s="144"/>
      <c r="L299" s="33"/>
      <c r="M299" s="145"/>
      <c r="T299" s="54"/>
      <c r="AT299" s="18" t="s">
        <v>189</v>
      </c>
      <c r="AU299" s="18" t="s">
        <v>87</v>
      </c>
    </row>
    <row r="300" spans="2:47" s="1" customFormat="1" ht="48.75">
      <c r="B300" s="33"/>
      <c r="D300" s="142" t="s">
        <v>191</v>
      </c>
      <c r="F300" s="148" t="s">
        <v>4112</v>
      </c>
      <c r="I300" s="144"/>
      <c r="L300" s="33"/>
      <c r="M300" s="145"/>
      <c r="T300" s="54"/>
      <c r="AT300" s="18" t="s">
        <v>191</v>
      </c>
      <c r="AU300" s="18" t="s">
        <v>87</v>
      </c>
    </row>
    <row r="301" spans="2:65" s="1" customFormat="1" ht="24.2" customHeight="1">
      <c r="B301" s="128"/>
      <c r="C301" s="129" t="s">
        <v>1185</v>
      </c>
      <c r="D301" s="129" t="s">
        <v>180</v>
      </c>
      <c r="E301" s="130" t="s">
        <v>4113</v>
      </c>
      <c r="F301" s="131" t="s">
        <v>4114</v>
      </c>
      <c r="G301" s="132" t="s">
        <v>236</v>
      </c>
      <c r="H301" s="133">
        <v>2</v>
      </c>
      <c r="I301" s="134"/>
      <c r="J301" s="135">
        <f>ROUND(I301*H301,2)</f>
        <v>0</v>
      </c>
      <c r="K301" s="131" t="s">
        <v>184</v>
      </c>
      <c r="L301" s="33"/>
      <c r="M301" s="136" t="s">
        <v>3</v>
      </c>
      <c r="N301" s="137" t="s">
        <v>48</v>
      </c>
      <c r="P301" s="138">
        <f>O301*H301</f>
        <v>0</v>
      </c>
      <c r="Q301" s="138">
        <v>0.0003</v>
      </c>
      <c r="R301" s="138">
        <f>Q301*H301</f>
        <v>0.0006</v>
      </c>
      <c r="S301" s="138">
        <v>0</v>
      </c>
      <c r="T301" s="139">
        <f>S301*H301</f>
        <v>0</v>
      </c>
      <c r="AR301" s="140" t="s">
        <v>237</v>
      </c>
      <c r="AT301" s="140" t="s">
        <v>180</v>
      </c>
      <c r="AU301" s="140" t="s">
        <v>87</v>
      </c>
      <c r="AY301" s="18" t="s">
        <v>177</v>
      </c>
      <c r="BE301" s="141">
        <f>IF(N301="základní",J301,0)</f>
        <v>0</v>
      </c>
      <c r="BF301" s="141">
        <f>IF(N301="snížená",J301,0)</f>
        <v>0</v>
      </c>
      <c r="BG301" s="141">
        <f>IF(N301="zákl. přenesená",J301,0)</f>
        <v>0</v>
      </c>
      <c r="BH301" s="141">
        <f>IF(N301="sníž. přenesená",J301,0)</f>
        <v>0</v>
      </c>
      <c r="BI301" s="141">
        <f>IF(N301="nulová",J301,0)</f>
        <v>0</v>
      </c>
      <c r="BJ301" s="18" t="s">
        <v>85</v>
      </c>
      <c r="BK301" s="141">
        <f>ROUND(I301*H301,2)</f>
        <v>0</v>
      </c>
      <c r="BL301" s="18" t="s">
        <v>237</v>
      </c>
      <c r="BM301" s="140" t="s">
        <v>4115</v>
      </c>
    </row>
    <row r="302" spans="2:47" s="1" customFormat="1" ht="19.5">
      <c r="B302" s="33"/>
      <c r="D302" s="142" t="s">
        <v>187</v>
      </c>
      <c r="F302" s="143" t="s">
        <v>4116</v>
      </c>
      <c r="I302" s="144"/>
      <c r="L302" s="33"/>
      <c r="M302" s="145"/>
      <c r="T302" s="54"/>
      <c r="AT302" s="18" t="s">
        <v>187</v>
      </c>
      <c r="AU302" s="18" t="s">
        <v>87</v>
      </c>
    </row>
    <row r="303" spans="2:47" s="1" customFormat="1" ht="11.25">
      <c r="B303" s="33"/>
      <c r="D303" s="146" t="s">
        <v>189</v>
      </c>
      <c r="F303" s="147" t="s">
        <v>4117</v>
      </c>
      <c r="I303" s="144"/>
      <c r="L303" s="33"/>
      <c r="M303" s="145"/>
      <c r="T303" s="54"/>
      <c r="AT303" s="18" t="s">
        <v>189</v>
      </c>
      <c r="AU303" s="18" t="s">
        <v>87</v>
      </c>
    </row>
    <row r="304" spans="2:47" s="1" customFormat="1" ht="48.75">
      <c r="B304" s="33"/>
      <c r="D304" s="142" t="s">
        <v>191</v>
      </c>
      <c r="F304" s="148" t="s">
        <v>4112</v>
      </c>
      <c r="I304" s="144"/>
      <c r="L304" s="33"/>
      <c r="M304" s="145"/>
      <c r="T304" s="54"/>
      <c r="AT304" s="18" t="s">
        <v>191</v>
      </c>
      <c r="AU304" s="18" t="s">
        <v>87</v>
      </c>
    </row>
    <row r="305" spans="2:65" s="1" customFormat="1" ht="21.75" customHeight="1">
      <c r="B305" s="128"/>
      <c r="C305" s="129" t="s">
        <v>1188</v>
      </c>
      <c r="D305" s="129" t="s">
        <v>180</v>
      </c>
      <c r="E305" s="130" t="s">
        <v>4118</v>
      </c>
      <c r="F305" s="131" t="s">
        <v>4119</v>
      </c>
      <c r="G305" s="132" t="s">
        <v>236</v>
      </c>
      <c r="H305" s="133">
        <v>2</v>
      </c>
      <c r="I305" s="134"/>
      <c r="J305" s="135">
        <f>ROUND(I305*H305,2)</f>
        <v>0</v>
      </c>
      <c r="K305" s="131" t="s">
        <v>184</v>
      </c>
      <c r="L305" s="33"/>
      <c r="M305" s="136" t="s">
        <v>3</v>
      </c>
      <c r="N305" s="137" t="s">
        <v>48</v>
      </c>
      <c r="P305" s="138">
        <f>O305*H305</f>
        <v>0</v>
      </c>
      <c r="Q305" s="138">
        <v>0.00020957</v>
      </c>
      <c r="R305" s="138">
        <f>Q305*H305</f>
        <v>0.00041914</v>
      </c>
      <c r="S305" s="138">
        <v>0</v>
      </c>
      <c r="T305" s="139">
        <f>S305*H305</f>
        <v>0</v>
      </c>
      <c r="AR305" s="140" t="s">
        <v>237</v>
      </c>
      <c r="AT305" s="140" t="s">
        <v>180</v>
      </c>
      <c r="AU305" s="140" t="s">
        <v>87</v>
      </c>
      <c r="AY305" s="18" t="s">
        <v>177</v>
      </c>
      <c r="BE305" s="141">
        <f>IF(N305="základní",J305,0)</f>
        <v>0</v>
      </c>
      <c r="BF305" s="141">
        <f>IF(N305="snížená",J305,0)</f>
        <v>0</v>
      </c>
      <c r="BG305" s="141">
        <f>IF(N305="zákl. přenesená",J305,0)</f>
        <v>0</v>
      </c>
      <c r="BH305" s="141">
        <f>IF(N305="sníž. přenesená",J305,0)</f>
        <v>0</v>
      </c>
      <c r="BI305" s="141">
        <f>IF(N305="nulová",J305,0)</f>
        <v>0</v>
      </c>
      <c r="BJ305" s="18" t="s">
        <v>85</v>
      </c>
      <c r="BK305" s="141">
        <f>ROUND(I305*H305,2)</f>
        <v>0</v>
      </c>
      <c r="BL305" s="18" t="s">
        <v>237</v>
      </c>
      <c r="BM305" s="140" t="s">
        <v>4120</v>
      </c>
    </row>
    <row r="306" spans="2:47" s="1" customFormat="1" ht="19.5">
      <c r="B306" s="33"/>
      <c r="D306" s="142" t="s">
        <v>187</v>
      </c>
      <c r="F306" s="143" t="s">
        <v>4121</v>
      </c>
      <c r="I306" s="144"/>
      <c r="L306" s="33"/>
      <c r="M306" s="145"/>
      <c r="T306" s="54"/>
      <c r="AT306" s="18" t="s">
        <v>187</v>
      </c>
      <c r="AU306" s="18" t="s">
        <v>87</v>
      </c>
    </row>
    <row r="307" spans="2:47" s="1" customFormat="1" ht="11.25">
      <c r="B307" s="33"/>
      <c r="D307" s="146" t="s">
        <v>189</v>
      </c>
      <c r="F307" s="147" t="s">
        <v>4122</v>
      </c>
      <c r="I307" s="144"/>
      <c r="L307" s="33"/>
      <c r="M307" s="145"/>
      <c r="T307" s="54"/>
      <c r="AT307" s="18" t="s">
        <v>189</v>
      </c>
      <c r="AU307" s="18" t="s">
        <v>87</v>
      </c>
    </row>
    <row r="308" spans="2:65" s="1" customFormat="1" ht="21.75" customHeight="1">
      <c r="B308" s="128"/>
      <c r="C308" s="129" t="s">
        <v>1190</v>
      </c>
      <c r="D308" s="129" t="s">
        <v>180</v>
      </c>
      <c r="E308" s="130" t="s">
        <v>4123</v>
      </c>
      <c r="F308" s="131" t="s">
        <v>4124</v>
      </c>
      <c r="G308" s="132" t="s">
        <v>236</v>
      </c>
      <c r="H308" s="133">
        <v>1</v>
      </c>
      <c r="I308" s="134"/>
      <c r="J308" s="135">
        <f>ROUND(I308*H308,2)</f>
        <v>0</v>
      </c>
      <c r="K308" s="131" t="s">
        <v>184</v>
      </c>
      <c r="L308" s="33"/>
      <c r="M308" s="136" t="s">
        <v>3</v>
      </c>
      <c r="N308" s="137" t="s">
        <v>48</v>
      </c>
      <c r="P308" s="138">
        <f>O308*H308</f>
        <v>0</v>
      </c>
      <c r="Q308" s="138">
        <v>0.00069957</v>
      </c>
      <c r="R308" s="138">
        <f>Q308*H308</f>
        <v>0.00069957</v>
      </c>
      <c r="S308" s="138">
        <v>0</v>
      </c>
      <c r="T308" s="139">
        <f>S308*H308</f>
        <v>0</v>
      </c>
      <c r="AR308" s="140" t="s">
        <v>237</v>
      </c>
      <c r="AT308" s="140" t="s">
        <v>180</v>
      </c>
      <c r="AU308" s="140" t="s">
        <v>87</v>
      </c>
      <c r="AY308" s="18" t="s">
        <v>177</v>
      </c>
      <c r="BE308" s="141">
        <f>IF(N308="základní",J308,0)</f>
        <v>0</v>
      </c>
      <c r="BF308" s="141">
        <f>IF(N308="snížená",J308,0)</f>
        <v>0</v>
      </c>
      <c r="BG308" s="141">
        <f>IF(N308="zákl. přenesená",J308,0)</f>
        <v>0</v>
      </c>
      <c r="BH308" s="141">
        <f>IF(N308="sníž. přenesená",J308,0)</f>
        <v>0</v>
      </c>
      <c r="BI308" s="141">
        <f>IF(N308="nulová",J308,0)</f>
        <v>0</v>
      </c>
      <c r="BJ308" s="18" t="s">
        <v>85</v>
      </c>
      <c r="BK308" s="141">
        <f>ROUND(I308*H308,2)</f>
        <v>0</v>
      </c>
      <c r="BL308" s="18" t="s">
        <v>237</v>
      </c>
      <c r="BM308" s="140" t="s">
        <v>4125</v>
      </c>
    </row>
    <row r="309" spans="2:47" s="1" customFormat="1" ht="19.5">
      <c r="B309" s="33"/>
      <c r="D309" s="142" t="s">
        <v>187</v>
      </c>
      <c r="F309" s="143" t="s">
        <v>4126</v>
      </c>
      <c r="I309" s="144"/>
      <c r="L309" s="33"/>
      <c r="M309" s="145"/>
      <c r="T309" s="54"/>
      <c r="AT309" s="18" t="s">
        <v>187</v>
      </c>
      <c r="AU309" s="18" t="s">
        <v>87</v>
      </c>
    </row>
    <row r="310" spans="2:47" s="1" customFormat="1" ht="11.25">
      <c r="B310" s="33"/>
      <c r="D310" s="146" t="s">
        <v>189</v>
      </c>
      <c r="F310" s="147" t="s">
        <v>4127</v>
      </c>
      <c r="I310" s="144"/>
      <c r="L310" s="33"/>
      <c r="M310" s="145"/>
      <c r="T310" s="54"/>
      <c r="AT310" s="18" t="s">
        <v>189</v>
      </c>
      <c r="AU310" s="18" t="s">
        <v>87</v>
      </c>
    </row>
    <row r="311" spans="2:65" s="1" customFormat="1" ht="24.2" customHeight="1">
      <c r="B311" s="128"/>
      <c r="C311" s="129" t="s">
        <v>1193</v>
      </c>
      <c r="D311" s="129" t="s">
        <v>180</v>
      </c>
      <c r="E311" s="130" t="s">
        <v>4128</v>
      </c>
      <c r="F311" s="131" t="s">
        <v>4129</v>
      </c>
      <c r="G311" s="132" t="s">
        <v>476</v>
      </c>
      <c r="H311" s="133">
        <v>183</v>
      </c>
      <c r="I311" s="134"/>
      <c r="J311" s="135">
        <f>ROUND(I311*H311,2)</f>
        <v>0</v>
      </c>
      <c r="K311" s="131" t="s">
        <v>184</v>
      </c>
      <c r="L311" s="33"/>
      <c r="M311" s="136" t="s">
        <v>3</v>
      </c>
      <c r="N311" s="137" t="s">
        <v>48</v>
      </c>
      <c r="P311" s="138">
        <f>O311*H311</f>
        <v>0</v>
      </c>
      <c r="Q311" s="138">
        <v>0.0001897235</v>
      </c>
      <c r="R311" s="138">
        <f>Q311*H311</f>
        <v>0.0347194005</v>
      </c>
      <c r="S311" s="138">
        <v>0</v>
      </c>
      <c r="T311" s="139">
        <f>S311*H311</f>
        <v>0</v>
      </c>
      <c r="AR311" s="140" t="s">
        <v>237</v>
      </c>
      <c r="AT311" s="140" t="s">
        <v>180</v>
      </c>
      <c r="AU311" s="140" t="s">
        <v>87</v>
      </c>
      <c r="AY311" s="18" t="s">
        <v>177</v>
      </c>
      <c r="BE311" s="141">
        <f>IF(N311="základní",J311,0)</f>
        <v>0</v>
      </c>
      <c r="BF311" s="141">
        <f>IF(N311="snížená",J311,0)</f>
        <v>0</v>
      </c>
      <c r="BG311" s="141">
        <f>IF(N311="zákl. přenesená",J311,0)</f>
        <v>0</v>
      </c>
      <c r="BH311" s="141">
        <f>IF(N311="sníž. přenesená",J311,0)</f>
        <v>0</v>
      </c>
      <c r="BI311" s="141">
        <f>IF(N311="nulová",J311,0)</f>
        <v>0</v>
      </c>
      <c r="BJ311" s="18" t="s">
        <v>85</v>
      </c>
      <c r="BK311" s="141">
        <f>ROUND(I311*H311,2)</f>
        <v>0</v>
      </c>
      <c r="BL311" s="18" t="s">
        <v>237</v>
      </c>
      <c r="BM311" s="140" t="s">
        <v>4130</v>
      </c>
    </row>
    <row r="312" spans="2:47" s="1" customFormat="1" ht="19.5">
      <c r="B312" s="33"/>
      <c r="D312" s="142" t="s">
        <v>187</v>
      </c>
      <c r="F312" s="143" t="s">
        <v>4131</v>
      </c>
      <c r="I312" s="144"/>
      <c r="L312" s="33"/>
      <c r="M312" s="145"/>
      <c r="T312" s="54"/>
      <c r="AT312" s="18" t="s">
        <v>187</v>
      </c>
      <c r="AU312" s="18" t="s">
        <v>87</v>
      </c>
    </row>
    <row r="313" spans="2:47" s="1" customFormat="1" ht="11.25">
      <c r="B313" s="33"/>
      <c r="D313" s="146" t="s">
        <v>189</v>
      </c>
      <c r="F313" s="147" t="s">
        <v>4132</v>
      </c>
      <c r="I313" s="144"/>
      <c r="L313" s="33"/>
      <c r="M313" s="145"/>
      <c r="T313" s="54"/>
      <c r="AT313" s="18" t="s">
        <v>189</v>
      </c>
      <c r="AU313" s="18" t="s">
        <v>87</v>
      </c>
    </row>
    <row r="314" spans="2:47" s="1" customFormat="1" ht="107.25">
      <c r="B314" s="33"/>
      <c r="D314" s="142" t="s">
        <v>191</v>
      </c>
      <c r="F314" s="148" t="s">
        <v>4133</v>
      </c>
      <c r="I314" s="144"/>
      <c r="L314" s="33"/>
      <c r="M314" s="145"/>
      <c r="T314" s="54"/>
      <c r="AT314" s="18" t="s">
        <v>191</v>
      </c>
      <c r="AU314" s="18" t="s">
        <v>87</v>
      </c>
    </row>
    <row r="315" spans="2:65" s="1" customFormat="1" ht="21.75" customHeight="1">
      <c r="B315" s="128"/>
      <c r="C315" s="129" t="s">
        <v>1201</v>
      </c>
      <c r="D315" s="129" t="s">
        <v>180</v>
      </c>
      <c r="E315" s="130" t="s">
        <v>4134</v>
      </c>
      <c r="F315" s="131" t="s">
        <v>4135</v>
      </c>
      <c r="G315" s="132" t="s">
        <v>476</v>
      </c>
      <c r="H315" s="133">
        <v>183</v>
      </c>
      <c r="I315" s="134"/>
      <c r="J315" s="135">
        <f>ROUND(I315*H315,2)</f>
        <v>0</v>
      </c>
      <c r="K315" s="131" t="s">
        <v>184</v>
      </c>
      <c r="L315" s="33"/>
      <c r="M315" s="136" t="s">
        <v>3</v>
      </c>
      <c r="N315" s="137" t="s">
        <v>48</v>
      </c>
      <c r="P315" s="138">
        <f>O315*H315</f>
        <v>0</v>
      </c>
      <c r="Q315" s="138">
        <v>1E-05</v>
      </c>
      <c r="R315" s="138">
        <f>Q315*H315</f>
        <v>0.0018300000000000002</v>
      </c>
      <c r="S315" s="138">
        <v>0</v>
      </c>
      <c r="T315" s="139">
        <f>S315*H315</f>
        <v>0</v>
      </c>
      <c r="AR315" s="140" t="s">
        <v>237</v>
      </c>
      <c r="AT315" s="140" t="s">
        <v>180</v>
      </c>
      <c r="AU315" s="140" t="s">
        <v>87</v>
      </c>
      <c r="AY315" s="18" t="s">
        <v>177</v>
      </c>
      <c r="BE315" s="141">
        <f>IF(N315="základní",J315,0)</f>
        <v>0</v>
      </c>
      <c r="BF315" s="141">
        <f>IF(N315="snížená",J315,0)</f>
        <v>0</v>
      </c>
      <c r="BG315" s="141">
        <f>IF(N315="zákl. přenesená",J315,0)</f>
        <v>0</v>
      </c>
      <c r="BH315" s="141">
        <f>IF(N315="sníž. přenesená",J315,0)</f>
        <v>0</v>
      </c>
      <c r="BI315" s="141">
        <f>IF(N315="nulová",J315,0)</f>
        <v>0</v>
      </c>
      <c r="BJ315" s="18" t="s">
        <v>85</v>
      </c>
      <c r="BK315" s="141">
        <f>ROUND(I315*H315,2)</f>
        <v>0</v>
      </c>
      <c r="BL315" s="18" t="s">
        <v>237</v>
      </c>
      <c r="BM315" s="140" t="s">
        <v>4136</v>
      </c>
    </row>
    <row r="316" spans="2:47" s="1" customFormat="1" ht="19.5">
      <c r="B316" s="33"/>
      <c r="D316" s="142" t="s">
        <v>187</v>
      </c>
      <c r="F316" s="143" t="s">
        <v>4137</v>
      </c>
      <c r="I316" s="144"/>
      <c r="L316" s="33"/>
      <c r="M316" s="145"/>
      <c r="T316" s="54"/>
      <c r="AT316" s="18" t="s">
        <v>187</v>
      </c>
      <c r="AU316" s="18" t="s">
        <v>87</v>
      </c>
    </row>
    <row r="317" spans="2:47" s="1" customFormat="1" ht="11.25">
      <c r="B317" s="33"/>
      <c r="D317" s="146" t="s">
        <v>189</v>
      </c>
      <c r="F317" s="147" t="s">
        <v>4138</v>
      </c>
      <c r="I317" s="144"/>
      <c r="L317" s="33"/>
      <c r="M317" s="145"/>
      <c r="T317" s="54"/>
      <c r="AT317" s="18" t="s">
        <v>189</v>
      </c>
      <c r="AU317" s="18" t="s">
        <v>87</v>
      </c>
    </row>
    <row r="318" spans="2:47" s="1" customFormat="1" ht="107.25">
      <c r="B318" s="33"/>
      <c r="D318" s="142" t="s">
        <v>191</v>
      </c>
      <c r="F318" s="148" t="s">
        <v>4133</v>
      </c>
      <c r="I318" s="144"/>
      <c r="L318" s="33"/>
      <c r="M318" s="145"/>
      <c r="T318" s="54"/>
      <c r="AT318" s="18" t="s">
        <v>191</v>
      </c>
      <c r="AU318" s="18" t="s">
        <v>87</v>
      </c>
    </row>
    <row r="319" spans="2:65" s="1" customFormat="1" ht="24.2" customHeight="1">
      <c r="B319" s="128"/>
      <c r="C319" s="129" t="s">
        <v>1208</v>
      </c>
      <c r="D319" s="129" t="s">
        <v>180</v>
      </c>
      <c r="E319" s="130" t="s">
        <v>4139</v>
      </c>
      <c r="F319" s="131" t="s">
        <v>4140</v>
      </c>
      <c r="G319" s="132" t="s">
        <v>183</v>
      </c>
      <c r="H319" s="133">
        <v>0.284</v>
      </c>
      <c r="I319" s="134"/>
      <c r="J319" s="135">
        <f>ROUND(I319*H319,2)</f>
        <v>0</v>
      </c>
      <c r="K319" s="131" t="s">
        <v>184</v>
      </c>
      <c r="L319" s="33"/>
      <c r="M319" s="136" t="s">
        <v>3</v>
      </c>
      <c r="N319" s="137" t="s">
        <v>48</v>
      </c>
      <c r="P319" s="138">
        <f>O319*H319</f>
        <v>0</v>
      </c>
      <c r="Q319" s="138">
        <v>0</v>
      </c>
      <c r="R319" s="138">
        <f>Q319*H319</f>
        <v>0</v>
      </c>
      <c r="S319" s="138">
        <v>0</v>
      </c>
      <c r="T319" s="139">
        <f>S319*H319</f>
        <v>0</v>
      </c>
      <c r="AR319" s="140" t="s">
        <v>237</v>
      </c>
      <c r="AT319" s="140" t="s">
        <v>180</v>
      </c>
      <c r="AU319" s="140" t="s">
        <v>87</v>
      </c>
      <c r="AY319" s="18" t="s">
        <v>177</v>
      </c>
      <c r="BE319" s="141">
        <f>IF(N319="základní",J319,0)</f>
        <v>0</v>
      </c>
      <c r="BF319" s="141">
        <f>IF(N319="snížená",J319,0)</f>
        <v>0</v>
      </c>
      <c r="BG319" s="141">
        <f>IF(N319="zákl. přenesená",J319,0)</f>
        <v>0</v>
      </c>
      <c r="BH319" s="141">
        <f>IF(N319="sníž. přenesená",J319,0)</f>
        <v>0</v>
      </c>
      <c r="BI319" s="141">
        <f>IF(N319="nulová",J319,0)</f>
        <v>0</v>
      </c>
      <c r="BJ319" s="18" t="s">
        <v>85</v>
      </c>
      <c r="BK319" s="141">
        <f>ROUND(I319*H319,2)</f>
        <v>0</v>
      </c>
      <c r="BL319" s="18" t="s">
        <v>237</v>
      </c>
      <c r="BM319" s="140" t="s">
        <v>4141</v>
      </c>
    </row>
    <row r="320" spans="2:47" s="1" customFormat="1" ht="29.25">
      <c r="B320" s="33"/>
      <c r="D320" s="142" t="s">
        <v>187</v>
      </c>
      <c r="F320" s="143" t="s">
        <v>4142</v>
      </c>
      <c r="I320" s="144"/>
      <c r="L320" s="33"/>
      <c r="M320" s="145"/>
      <c r="T320" s="54"/>
      <c r="AT320" s="18" t="s">
        <v>187</v>
      </c>
      <c r="AU320" s="18" t="s">
        <v>87</v>
      </c>
    </row>
    <row r="321" spans="2:47" s="1" customFormat="1" ht="11.25">
      <c r="B321" s="33"/>
      <c r="D321" s="146" t="s">
        <v>189</v>
      </c>
      <c r="F321" s="147" t="s">
        <v>4143</v>
      </c>
      <c r="I321" s="144"/>
      <c r="L321" s="33"/>
      <c r="M321" s="145"/>
      <c r="T321" s="54"/>
      <c r="AT321" s="18" t="s">
        <v>189</v>
      </c>
      <c r="AU321" s="18" t="s">
        <v>87</v>
      </c>
    </row>
    <row r="322" spans="2:47" s="1" customFormat="1" ht="126.75">
      <c r="B322" s="33"/>
      <c r="D322" s="142" t="s">
        <v>191</v>
      </c>
      <c r="F322" s="148" t="s">
        <v>1438</v>
      </c>
      <c r="I322" s="144"/>
      <c r="L322" s="33"/>
      <c r="M322" s="145"/>
      <c r="T322" s="54"/>
      <c r="AT322" s="18" t="s">
        <v>191</v>
      </c>
      <c r="AU322" s="18" t="s">
        <v>87</v>
      </c>
    </row>
    <row r="323" spans="2:65" s="1" customFormat="1" ht="24.2" customHeight="1">
      <c r="B323" s="128"/>
      <c r="C323" s="129" t="s">
        <v>1214</v>
      </c>
      <c r="D323" s="129" t="s">
        <v>180</v>
      </c>
      <c r="E323" s="130" t="s">
        <v>4144</v>
      </c>
      <c r="F323" s="131" t="s">
        <v>4145</v>
      </c>
      <c r="G323" s="132" t="s">
        <v>183</v>
      </c>
      <c r="H323" s="133">
        <v>0.284</v>
      </c>
      <c r="I323" s="134"/>
      <c r="J323" s="135">
        <f>ROUND(I323*H323,2)</f>
        <v>0</v>
      </c>
      <c r="K323" s="131" t="s">
        <v>184</v>
      </c>
      <c r="L323" s="33"/>
      <c r="M323" s="136" t="s">
        <v>3</v>
      </c>
      <c r="N323" s="137" t="s">
        <v>48</v>
      </c>
      <c r="P323" s="138">
        <f>O323*H323</f>
        <v>0</v>
      </c>
      <c r="Q323" s="138">
        <v>0</v>
      </c>
      <c r="R323" s="138">
        <f>Q323*H323</f>
        <v>0</v>
      </c>
      <c r="S323" s="138">
        <v>0</v>
      </c>
      <c r="T323" s="139">
        <f>S323*H323</f>
        <v>0</v>
      </c>
      <c r="AR323" s="140" t="s">
        <v>237</v>
      </c>
      <c r="AT323" s="140" t="s">
        <v>180</v>
      </c>
      <c r="AU323" s="140" t="s">
        <v>87</v>
      </c>
      <c r="AY323" s="18" t="s">
        <v>177</v>
      </c>
      <c r="BE323" s="141">
        <f>IF(N323="základní",J323,0)</f>
        <v>0</v>
      </c>
      <c r="BF323" s="141">
        <f>IF(N323="snížená",J323,0)</f>
        <v>0</v>
      </c>
      <c r="BG323" s="141">
        <f>IF(N323="zákl. přenesená",J323,0)</f>
        <v>0</v>
      </c>
      <c r="BH323" s="141">
        <f>IF(N323="sníž. přenesená",J323,0)</f>
        <v>0</v>
      </c>
      <c r="BI323" s="141">
        <f>IF(N323="nulová",J323,0)</f>
        <v>0</v>
      </c>
      <c r="BJ323" s="18" t="s">
        <v>85</v>
      </c>
      <c r="BK323" s="141">
        <f>ROUND(I323*H323,2)</f>
        <v>0</v>
      </c>
      <c r="BL323" s="18" t="s">
        <v>237</v>
      </c>
      <c r="BM323" s="140" t="s">
        <v>4146</v>
      </c>
    </row>
    <row r="324" spans="2:47" s="1" customFormat="1" ht="29.25">
      <c r="B324" s="33"/>
      <c r="D324" s="142" t="s">
        <v>187</v>
      </c>
      <c r="F324" s="143" t="s">
        <v>4147</v>
      </c>
      <c r="I324" s="144"/>
      <c r="L324" s="33"/>
      <c r="M324" s="145"/>
      <c r="T324" s="54"/>
      <c r="AT324" s="18" t="s">
        <v>187</v>
      </c>
      <c r="AU324" s="18" t="s">
        <v>87</v>
      </c>
    </row>
    <row r="325" spans="2:47" s="1" customFormat="1" ht="11.25">
      <c r="B325" s="33"/>
      <c r="D325" s="146" t="s">
        <v>189</v>
      </c>
      <c r="F325" s="147" t="s">
        <v>4148</v>
      </c>
      <c r="I325" s="144"/>
      <c r="L325" s="33"/>
      <c r="M325" s="145"/>
      <c r="T325" s="54"/>
      <c r="AT325" s="18" t="s">
        <v>189</v>
      </c>
      <c r="AU325" s="18" t="s">
        <v>87</v>
      </c>
    </row>
    <row r="326" spans="2:47" s="1" customFormat="1" ht="126.75">
      <c r="B326" s="33"/>
      <c r="D326" s="142" t="s">
        <v>191</v>
      </c>
      <c r="F326" s="148" t="s">
        <v>1438</v>
      </c>
      <c r="I326" s="144"/>
      <c r="L326" s="33"/>
      <c r="M326" s="145"/>
      <c r="T326" s="54"/>
      <c r="AT326" s="18" t="s">
        <v>191</v>
      </c>
      <c r="AU326" s="18" t="s">
        <v>87</v>
      </c>
    </row>
    <row r="327" spans="2:63" s="11" customFormat="1" ht="22.9" customHeight="1">
      <c r="B327" s="116"/>
      <c r="D327" s="117" t="s">
        <v>76</v>
      </c>
      <c r="E327" s="126" t="s">
        <v>256</v>
      </c>
      <c r="F327" s="126" t="s">
        <v>257</v>
      </c>
      <c r="I327" s="119"/>
      <c r="J327" s="127">
        <f>BK327</f>
        <v>0</v>
      </c>
      <c r="L327" s="116"/>
      <c r="M327" s="121"/>
      <c r="P327" s="122">
        <f>SUM(P328:P403)</f>
        <v>0</v>
      </c>
      <c r="R327" s="122">
        <f>SUM(R328:R403)</f>
        <v>0.5421340897000001</v>
      </c>
      <c r="T327" s="123">
        <f>SUM(T328:T403)</f>
        <v>0.0018000000000000002</v>
      </c>
      <c r="AR327" s="117" t="s">
        <v>87</v>
      </c>
      <c r="AT327" s="124" t="s">
        <v>76</v>
      </c>
      <c r="AU327" s="124" t="s">
        <v>85</v>
      </c>
      <c r="AY327" s="117" t="s">
        <v>177</v>
      </c>
      <c r="BK327" s="125">
        <f>SUM(BK328:BK403)</f>
        <v>0</v>
      </c>
    </row>
    <row r="328" spans="2:65" s="1" customFormat="1" ht="24.2" customHeight="1">
      <c r="B328" s="128"/>
      <c r="C328" s="129" t="s">
        <v>1222</v>
      </c>
      <c r="D328" s="129" t="s">
        <v>180</v>
      </c>
      <c r="E328" s="130" t="s">
        <v>4149</v>
      </c>
      <c r="F328" s="131" t="s">
        <v>4150</v>
      </c>
      <c r="G328" s="132" t="s">
        <v>261</v>
      </c>
      <c r="H328" s="133">
        <v>2</v>
      </c>
      <c r="I328" s="134"/>
      <c r="J328" s="135">
        <f>ROUND(I328*H328,2)</f>
        <v>0</v>
      </c>
      <c r="K328" s="131" t="s">
        <v>184</v>
      </c>
      <c r="L328" s="33"/>
      <c r="M328" s="136" t="s">
        <v>3</v>
      </c>
      <c r="N328" s="137" t="s">
        <v>48</v>
      </c>
      <c r="P328" s="138">
        <f>O328*H328</f>
        <v>0</v>
      </c>
      <c r="Q328" s="138">
        <v>0.0169688363</v>
      </c>
      <c r="R328" s="138">
        <f>Q328*H328</f>
        <v>0.0339376726</v>
      </c>
      <c r="S328" s="138">
        <v>0</v>
      </c>
      <c r="T328" s="139">
        <f>S328*H328</f>
        <v>0</v>
      </c>
      <c r="AR328" s="140" t="s">
        <v>237</v>
      </c>
      <c r="AT328" s="140" t="s">
        <v>180</v>
      </c>
      <c r="AU328" s="140" t="s">
        <v>87</v>
      </c>
      <c r="AY328" s="18" t="s">
        <v>177</v>
      </c>
      <c r="BE328" s="141">
        <f>IF(N328="základní",J328,0)</f>
        <v>0</v>
      </c>
      <c r="BF328" s="141">
        <f>IF(N328="snížená",J328,0)</f>
        <v>0</v>
      </c>
      <c r="BG328" s="141">
        <f>IF(N328="zákl. přenesená",J328,0)</f>
        <v>0</v>
      </c>
      <c r="BH328" s="141">
        <f>IF(N328="sníž. přenesená",J328,0)</f>
        <v>0</v>
      </c>
      <c r="BI328" s="141">
        <f>IF(N328="nulová",J328,0)</f>
        <v>0</v>
      </c>
      <c r="BJ328" s="18" t="s">
        <v>85</v>
      </c>
      <c r="BK328" s="141">
        <f>ROUND(I328*H328,2)</f>
        <v>0</v>
      </c>
      <c r="BL328" s="18" t="s">
        <v>237</v>
      </c>
      <c r="BM328" s="140" t="s">
        <v>4151</v>
      </c>
    </row>
    <row r="329" spans="2:47" s="1" customFormat="1" ht="19.5">
      <c r="B329" s="33"/>
      <c r="D329" s="142" t="s">
        <v>187</v>
      </c>
      <c r="F329" s="143" t="s">
        <v>4152</v>
      </c>
      <c r="I329" s="144"/>
      <c r="L329" s="33"/>
      <c r="M329" s="145"/>
      <c r="T329" s="54"/>
      <c r="AT329" s="18" t="s">
        <v>187</v>
      </c>
      <c r="AU329" s="18" t="s">
        <v>87</v>
      </c>
    </row>
    <row r="330" spans="2:47" s="1" customFormat="1" ht="11.25">
      <c r="B330" s="33"/>
      <c r="D330" s="146" t="s">
        <v>189</v>
      </c>
      <c r="F330" s="147" t="s">
        <v>4153</v>
      </c>
      <c r="I330" s="144"/>
      <c r="L330" s="33"/>
      <c r="M330" s="145"/>
      <c r="T330" s="54"/>
      <c r="AT330" s="18" t="s">
        <v>189</v>
      </c>
      <c r="AU330" s="18" t="s">
        <v>87</v>
      </c>
    </row>
    <row r="331" spans="2:47" s="1" customFormat="1" ht="39">
      <c r="B331" s="33"/>
      <c r="D331" s="142" t="s">
        <v>191</v>
      </c>
      <c r="F331" s="148" t="s">
        <v>4154</v>
      </c>
      <c r="I331" s="144"/>
      <c r="L331" s="33"/>
      <c r="M331" s="145"/>
      <c r="T331" s="54"/>
      <c r="AT331" s="18" t="s">
        <v>191</v>
      </c>
      <c r="AU331" s="18" t="s">
        <v>87</v>
      </c>
    </row>
    <row r="332" spans="2:65" s="1" customFormat="1" ht="24.2" customHeight="1">
      <c r="B332" s="128"/>
      <c r="C332" s="129" t="s">
        <v>1229</v>
      </c>
      <c r="D332" s="129" t="s">
        <v>180</v>
      </c>
      <c r="E332" s="130" t="s">
        <v>4149</v>
      </c>
      <c r="F332" s="131" t="s">
        <v>4150</v>
      </c>
      <c r="G332" s="132" t="s">
        <v>261</v>
      </c>
      <c r="H332" s="133">
        <v>7</v>
      </c>
      <c r="I332" s="134"/>
      <c r="J332" s="135">
        <f>ROUND(I332*H332,2)</f>
        <v>0</v>
      </c>
      <c r="K332" s="131" t="s">
        <v>184</v>
      </c>
      <c r="L332" s="33"/>
      <c r="M332" s="136" t="s">
        <v>3</v>
      </c>
      <c r="N332" s="137" t="s">
        <v>48</v>
      </c>
      <c r="P332" s="138">
        <f>O332*H332</f>
        <v>0</v>
      </c>
      <c r="Q332" s="138">
        <v>0.0169688363</v>
      </c>
      <c r="R332" s="138">
        <f>Q332*H332</f>
        <v>0.11878185410000001</v>
      </c>
      <c r="S332" s="138">
        <v>0</v>
      </c>
      <c r="T332" s="139">
        <f>S332*H332</f>
        <v>0</v>
      </c>
      <c r="AR332" s="140" t="s">
        <v>237</v>
      </c>
      <c r="AT332" s="140" t="s">
        <v>180</v>
      </c>
      <c r="AU332" s="140" t="s">
        <v>87</v>
      </c>
      <c r="AY332" s="18" t="s">
        <v>177</v>
      </c>
      <c r="BE332" s="141">
        <f>IF(N332="základní",J332,0)</f>
        <v>0</v>
      </c>
      <c r="BF332" s="141">
        <f>IF(N332="snížená",J332,0)</f>
        <v>0</v>
      </c>
      <c r="BG332" s="141">
        <f>IF(N332="zákl. přenesená",J332,0)</f>
        <v>0</v>
      </c>
      <c r="BH332" s="141">
        <f>IF(N332="sníž. přenesená",J332,0)</f>
        <v>0</v>
      </c>
      <c r="BI332" s="141">
        <f>IF(N332="nulová",J332,0)</f>
        <v>0</v>
      </c>
      <c r="BJ332" s="18" t="s">
        <v>85</v>
      </c>
      <c r="BK332" s="141">
        <f>ROUND(I332*H332,2)</f>
        <v>0</v>
      </c>
      <c r="BL332" s="18" t="s">
        <v>237</v>
      </c>
      <c r="BM332" s="140" t="s">
        <v>4155</v>
      </c>
    </row>
    <row r="333" spans="2:47" s="1" customFormat="1" ht="19.5">
      <c r="B333" s="33"/>
      <c r="D333" s="142" t="s">
        <v>187</v>
      </c>
      <c r="F333" s="143" t="s">
        <v>4152</v>
      </c>
      <c r="I333" s="144"/>
      <c r="L333" s="33"/>
      <c r="M333" s="145"/>
      <c r="T333" s="54"/>
      <c r="AT333" s="18" t="s">
        <v>187</v>
      </c>
      <c r="AU333" s="18" t="s">
        <v>87</v>
      </c>
    </row>
    <row r="334" spans="2:47" s="1" customFormat="1" ht="11.25">
      <c r="B334" s="33"/>
      <c r="D334" s="146" t="s">
        <v>189</v>
      </c>
      <c r="F334" s="147" t="s">
        <v>4153</v>
      </c>
      <c r="I334" s="144"/>
      <c r="L334" s="33"/>
      <c r="M334" s="145"/>
      <c r="T334" s="54"/>
      <c r="AT334" s="18" t="s">
        <v>189</v>
      </c>
      <c r="AU334" s="18" t="s">
        <v>87</v>
      </c>
    </row>
    <row r="335" spans="2:47" s="1" customFormat="1" ht="39">
      <c r="B335" s="33"/>
      <c r="D335" s="142" t="s">
        <v>191</v>
      </c>
      <c r="F335" s="148" t="s">
        <v>4154</v>
      </c>
      <c r="I335" s="144"/>
      <c r="L335" s="33"/>
      <c r="M335" s="145"/>
      <c r="T335" s="54"/>
      <c r="AT335" s="18" t="s">
        <v>191</v>
      </c>
      <c r="AU335" s="18" t="s">
        <v>87</v>
      </c>
    </row>
    <row r="336" spans="2:65" s="1" customFormat="1" ht="16.5" customHeight="1">
      <c r="B336" s="128"/>
      <c r="C336" s="129" t="s">
        <v>1233</v>
      </c>
      <c r="D336" s="129" t="s">
        <v>180</v>
      </c>
      <c r="E336" s="130" t="s">
        <v>4156</v>
      </c>
      <c r="F336" s="131" t="s">
        <v>4157</v>
      </c>
      <c r="G336" s="132" t="s">
        <v>236</v>
      </c>
      <c r="H336" s="133">
        <v>9</v>
      </c>
      <c r="I336" s="134"/>
      <c r="J336" s="135">
        <f>ROUND(I336*H336,2)</f>
        <v>0</v>
      </c>
      <c r="K336" s="131" t="s">
        <v>184</v>
      </c>
      <c r="L336" s="33"/>
      <c r="M336" s="136" t="s">
        <v>3</v>
      </c>
      <c r="N336" s="137" t="s">
        <v>48</v>
      </c>
      <c r="P336" s="138">
        <f>O336*H336</f>
        <v>0</v>
      </c>
      <c r="Q336" s="138">
        <v>0</v>
      </c>
      <c r="R336" s="138">
        <f>Q336*H336</f>
        <v>0</v>
      </c>
      <c r="S336" s="138">
        <v>0</v>
      </c>
      <c r="T336" s="139">
        <f>S336*H336</f>
        <v>0</v>
      </c>
      <c r="AR336" s="140" t="s">
        <v>237</v>
      </c>
      <c r="AT336" s="140" t="s">
        <v>180</v>
      </c>
      <c r="AU336" s="140" t="s">
        <v>87</v>
      </c>
      <c r="AY336" s="18" t="s">
        <v>177</v>
      </c>
      <c r="BE336" s="141">
        <f>IF(N336="základní",J336,0)</f>
        <v>0</v>
      </c>
      <c r="BF336" s="141">
        <f>IF(N336="snížená",J336,0)</f>
        <v>0</v>
      </c>
      <c r="BG336" s="141">
        <f>IF(N336="zákl. přenesená",J336,0)</f>
        <v>0</v>
      </c>
      <c r="BH336" s="141">
        <f>IF(N336="sníž. přenesená",J336,0)</f>
        <v>0</v>
      </c>
      <c r="BI336" s="141">
        <f>IF(N336="nulová",J336,0)</f>
        <v>0</v>
      </c>
      <c r="BJ336" s="18" t="s">
        <v>85</v>
      </c>
      <c r="BK336" s="141">
        <f>ROUND(I336*H336,2)</f>
        <v>0</v>
      </c>
      <c r="BL336" s="18" t="s">
        <v>237</v>
      </c>
      <c r="BM336" s="140" t="s">
        <v>4158</v>
      </c>
    </row>
    <row r="337" spans="2:47" s="1" customFormat="1" ht="11.25">
      <c r="B337" s="33"/>
      <c r="D337" s="142" t="s">
        <v>187</v>
      </c>
      <c r="F337" s="143" t="s">
        <v>4159</v>
      </c>
      <c r="I337" s="144"/>
      <c r="L337" s="33"/>
      <c r="M337" s="145"/>
      <c r="T337" s="54"/>
      <c r="AT337" s="18" t="s">
        <v>187</v>
      </c>
      <c r="AU337" s="18" t="s">
        <v>87</v>
      </c>
    </row>
    <row r="338" spans="2:47" s="1" customFormat="1" ht="11.25">
      <c r="B338" s="33"/>
      <c r="D338" s="146" t="s">
        <v>189</v>
      </c>
      <c r="F338" s="147" t="s">
        <v>4160</v>
      </c>
      <c r="I338" s="144"/>
      <c r="L338" s="33"/>
      <c r="M338" s="145"/>
      <c r="T338" s="54"/>
      <c r="AT338" s="18" t="s">
        <v>189</v>
      </c>
      <c r="AU338" s="18" t="s">
        <v>87</v>
      </c>
    </row>
    <row r="339" spans="2:65" s="1" customFormat="1" ht="16.5" customHeight="1">
      <c r="B339" s="128"/>
      <c r="C339" s="129" t="s">
        <v>1237</v>
      </c>
      <c r="D339" s="129" t="s">
        <v>180</v>
      </c>
      <c r="E339" s="130" t="s">
        <v>4161</v>
      </c>
      <c r="F339" s="131" t="s">
        <v>4162</v>
      </c>
      <c r="G339" s="132" t="s">
        <v>236</v>
      </c>
      <c r="H339" s="133">
        <v>9</v>
      </c>
      <c r="I339" s="134"/>
      <c r="J339" s="135">
        <f>ROUND(I339*H339,2)</f>
        <v>0</v>
      </c>
      <c r="K339" s="131" t="s">
        <v>184</v>
      </c>
      <c r="L339" s="33"/>
      <c r="M339" s="136" t="s">
        <v>3</v>
      </c>
      <c r="N339" s="137" t="s">
        <v>48</v>
      </c>
      <c r="P339" s="138">
        <f>O339*H339</f>
        <v>0</v>
      </c>
      <c r="Q339" s="138">
        <v>0.0002</v>
      </c>
      <c r="R339" s="138">
        <f>Q339*H339</f>
        <v>0.0018000000000000002</v>
      </c>
      <c r="S339" s="138">
        <v>0.0002</v>
      </c>
      <c r="T339" s="139">
        <f>S339*H339</f>
        <v>0.0018000000000000002</v>
      </c>
      <c r="AR339" s="140" t="s">
        <v>237</v>
      </c>
      <c r="AT339" s="140" t="s">
        <v>180</v>
      </c>
      <c r="AU339" s="140" t="s">
        <v>87</v>
      </c>
      <c r="AY339" s="18" t="s">
        <v>177</v>
      </c>
      <c r="BE339" s="141">
        <f>IF(N339="základní",J339,0)</f>
        <v>0</v>
      </c>
      <c r="BF339" s="141">
        <f>IF(N339="snížená",J339,0)</f>
        <v>0</v>
      </c>
      <c r="BG339" s="141">
        <f>IF(N339="zákl. přenesená",J339,0)</f>
        <v>0</v>
      </c>
      <c r="BH339" s="141">
        <f>IF(N339="sníž. přenesená",J339,0)</f>
        <v>0</v>
      </c>
      <c r="BI339" s="141">
        <f>IF(N339="nulová",J339,0)</f>
        <v>0</v>
      </c>
      <c r="BJ339" s="18" t="s">
        <v>85</v>
      </c>
      <c r="BK339" s="141">
        <f>ROUND(I339*H339,2)</f>
        <v>0</v>
      </c>
      <c r="BL339" s="18" t="s">
        <v>237</v>
      </c>
      <c r="BM339" s="140" t="s">
        <v>4163</v>
      </c>
    </row>
    <row r="340" spans="2:47" s="1" customFormat="1" ht="11.25">
      <c r="B340" s="33"/>
      <c r="D340" s="142" t="s">
        <v>187</v>
      </c>
      <c r="F340" s="143" t="s">
        <v>4164</v>
      </c>
      <c r="I340" s="144"/>
      <c r="L340" s="33"/>
      <c r="M340" s="145"/>
      <c r="T340" s="54"/>
      <c r="AT340" s="18" t="s">
        <v>187</v>
      </c>
      <c r="AU340" s="18" t="s">
        <v>87</v>
      </c>
    </row>
    <row r="341" spans="2:47" s="1" customFormat="1" ht="11.25">
      <c r="B341" s="33"/>
      <c r="D341" s="146" t="s">
        <v>189</v>
      </c>
      <c r="F341" s="147" t="s">
        <v>4165</v>
      </c>
      <c r="I341" s="144"/>
      <c r="L341" s="33"/>
      <c r="M341" s="145"/>
      <c r="T341" s="54"/>
      <c r="AT341" s="18" t="s">
        <v>189</v>
      </c>
      <c r="AU341" s="18" t="s">
        <v>87</v>
      </c>
    </row>
    <row r="342" spans="2:65" s="1" customFormat="1" ht="24.2" customHeight="1">
      <c r="B342" s="128"/>
      <c r="C342" s="129" t="s">
        <v>1247</v>
      </c>
      <c r="D342" s="129" t="s">
        <v>180</v>
      </c>
      <c r="E342" s="130" t="s">
        <v>4166</v>
      </c>
      <c r="F342" s="131" t="s">
        <v>4167</v>
      </c>
      <c r="G342" s="132" t="s">
        <v>261</v>
      </c>
      <c r="H342" s="133">
        <v>4</v>
      </c>
      <c r="I342" s="134"/>
      <c r="J342" s="135">
        <f>ROUND(I342*H342,2)</f>
        <v>0</v>
      </c>
      <c r="K342" s="131" t="s">
        <v>184</v>
      </c>
      <c r="L342" s="33"/>
      <c r="M342" s="136" t="s">
        <v>3</v>
      </c>
      <c r="N342" s="137" t="s">
        <v>48</v>
      </c>
      <c r="P342" s="138">
        <f>O342*H342</f>
        <v>0</v>
      </c>
      <c r="Q342" s="138">
        <v>0.0190793132</v>
      </c>
      <c r="R342" s="138">
        <f>Q342*H342</f>
        <v>0.0763172528</v>
      </c>
      <c r="S342" s="138">
        <v>0</v>
      </c>
      <c r="T342" s="139">
        <f>S342*H342</f>
        <v>0</v>
      </c>
      <c r="AR342" s="140" t="s">
        <v>237</v>
      </c>
      <c r="AT342" s="140" t="s">
        <v>180</v>
      </c>
      <c r="AU342" s="140" t="s">
        <v>87</v>
      </c>
      <c r="AY342" s="18" t="s">
        <v>177</v>
      </c>
      <c r="BE342" s="141">
        <f>IF(N342="základní",J342,0)</f>
        <v>0</v>
      </c>
      <c r="BF342" s="141">
        <f>IF(N342="snížená",J342,0)</f>
        <v>0</v>
      </c>
      <c r="BG342" s="141">
        <f>IF(N342="zákl. přenesená",J342,0)</f>
        <v>0</v>
      </c>
      <c r="BH342" s="141">
        <f>IF(N342="sníž. přenesená",J342,0)</f>
        <v>0</v>
      </c>
      <c r="BI342" s="141">
        <f>IF(N342="nulová",J342,0)</f>
        <v>0</v>
      </c>
      <c r="BJ342" s="18" t="s">
        <v>85</v>
      </c>
      <c r="BK342" s="141">
        <f>ROUND(I342*H342,2)</f>
        <v>0</v>
      </c>
      <c r="BL342" s="18" t="s">
        <v>237</v>
      </c>
      <c r="BM342" s="140" t="s">
        <v>4168</v>
      </c>
    </row>
    <row r="343" spans="2:47" s="1" customFormat="1" ht="19.5">
      <c r="B343" s="33"/>
      <c r="D343" s="142" t="s">
        <v>187</v>
      </c>
      <c r="F343" s="143" t="s">
        <v>4169</v>
      </c>
      <c r="I343" s="144"/>
      <c r="L343" s="33"/>
      <c r="M343" s="145"/>
      <c r="T343" s="54"/>
      <c r="AT343" s="18" t="s">
        <v>187</v>
      </c>
      <c r="AU343" s="18" t="s">
        <v>87</v>
      </c>
    </row>
    <row r="344" spans="2:47" s="1" customFormat="1" ht="11.25">
      <c r="B344" s="33"/>
      <c r="D344" s="146" t="s">
        <v>189</v>
      </c>
      <c r="F344" s="147" t="s">
        <v>4170</v>
      </c>
      <c r="I344" s="144"/>
      <c r="L344" s="33"/>
      <c r="M344" s="145"/>
      <c r="T344" s="54"/>
      <c r="AT344" s="18" t="s">
        <v>189</v>
      </c>
      <c r="AU344" s="18" t="s">
        <v>87</v>
      </c>
    </row>
    <row r="345" spans="2:47" s="1" customFormat="1" ht="48.75">
      <c r="B345" s="33"/>
      <c r="D345" s="142" t="s">
        <v>191</v>
      </c>
      <c r="F345" s="148" t="s">
        <v>4171</v>
      </c>
      <c r="I345" s="144"/>
      <c r="L345" s="33"/>
      <c r="M345" s="145"/>
      <c r="T345" s="54"/>
      <c r="AT345" s="18" t="s">
        <v>191</v>
      </c>
      <c r="AU345" s="18" t="s">
        <v>87</v>
      </c>
    </row>
    <row r="346" spans="2:65" s="1" customFormat="1" ht="24.2" customHeight="1">
      <c r="B346" s="128"/>
      <c r="C346" s="129" t="s">
        <v>1253</v>
      </c>
      <c r="D346" s="129" t="s">
        <v>180</v>
      </c>
      <c r="E346" s="130" t="s">
        <v>4172</v>
      </c>
      <c r="F346" s="131" t="s">
        <v>4173</v>
      </c>
      <c r="G346" s="132" t="s">
        <v>261</v>
      </c>
      <c r="H346" s="133">
        <v>8</v>
      </c>
      <c r="I346" s="134"/>
      <c r="J346" s="135">
        <f>ROUND(I346*H346,2)</f>
        <v>0</v>
      </c>
      <c r="K346" s="131" t="s">
        <v>184</v>
      </c>
      <c r="L346" s="33"/>
      <c r="M346" s="136" t="s">
        <v>3</v>
      </c>
      <c r="N346" s="137" t="s">
        <v>48</v>
      </c>
      <c r="P346" s="138">
        <f>O346*H346</f>
        <v>0</v>
      </c>
      <c r="Q346" s="138">
        <v>0.0207292765</v>
      </c>
      <c r="R346" s="138">
        <f>Q346*H346</f>
        <v>0.165834212</v>
      </c>
      <c r="S346" s="138">
        <v>0</v>
      </c>
      <c r="T346" s="139">
        <f>S346*H346</f>
        <v>0</v>
      </c>
      <c r="AR346" s="140" t="s">
        <v>237</v>
      </c>
      <c r="AT346" s="140" t="s">
        <v>180</v>
      </c>
      <c r="AU346" s="140" t="s">
        <v>87</v>
      </c>
      <c r="AY346" s="18" t="s">
        <v>177</v>
      </c>
      <c r="BE346" s="141">
        <f>IF(N346="základní",J346,0)</f>
        <v>0</v>
      </c>
      <c r="BF346" s="141">
        <f>IF(N346="snížená",J346,0)</f>
        <v>0</v>
      </c>
      <c r="BG346" s="141">
        <f>IF(N346="zákl. přenesená",J346,0)</f>
        <v>0</v>
      </c>
      <c r="BH346" s="141">
        <f>IF(N346="sníž. přenesená",J346,0)</f>
        <v>0</v>
      </c>
      <c r="BI346" s="141">
        <f>IF(N346="nulová",J346,0)</f>
        <v>0</v>
      </c>
      <c r="BJ346" s="18" t="s">
        <v>85</v>
      </c>
      <c r="BK346" s="141">
        <f>ROUND(I346*H346,2)</f>
        <v>0</v>
      </c>
      <c r="BL346" s="18" t="s">
        <v>237</v>
      </c>
      <c r="BM346" s="140" t="s">
        <v>4174</v>
      </c>
    </row>
    <row r="347" spans="2:47" s="1" customFormat="1" ht="29.25">
      <c r="B347" s="33"/>
      <c r="D347" s="142" t="s">
        <v>187</v>
      </c>
      <c r="F347" s="143" t="s">
        <v>4175</v>
      </c>
      <c r="I347" s="144"/>
      <c r="L347" s="33"/>
      <c r="M347" s="145"/>
      <c r="T347" s="54"/>
      <c r="AT347" s="18" t="s">
        <v>187</v>
      </c>
      <c r="AU347" s="18" t="s">
        <v>87</v>
      </c>
    </row>
    <row r="348" spans="2:47" s="1" customFormat="1" ht="11.25">
      <c r="B348" s="33"/>
      <c r="D348" s="146" t="s">
        <v>189</v>
      </c>
      <c r="F348" s="147" t="s">
        <v>4176</v>
      </c>
      <c r="I348" s="144"/>
      <c r="L348" s="33"/>
      <c r="M348" s="145"/>
      <c r="T348" s="54"/>
      <c r="AT348" s="18" t="s">
        <v>189</v>
      </c>
      <c r="AU348" s="18" t="s">
        <v>87</v>
      </c>
    </row>
    <row r="349" spans="2:47" s="1" customFormat="1" ht="97.5">
      <c r="B349" s="33"/>
      <c r="D349" s="142" t="s">
        <v>191</v>
      </c>
      <c r="F349" s="148" t="s">
        <v>4177</v>
      </c>
      <c r="I349" s="144"/>
      <c r="L349" s="33"/>
      <c r="M349" s="145"/>
      <c r="T349" s="54"/>
      <c r="AT349" s="18" t="s">
        <v>191</v>
      </c>
      <c r="AU349" s="18" t="s">
        <v>87</v>
      </c>
    </row>
    <row r="350" spans="2:65" s="1" customFormat="1" ht="24.2" customHeight="1">
      <c r="B350" s="128"/>
      <c r="C350" s="129" t="s">
        <v>1259</v>
      </c>
      <c r="D350" s="129" t="s">
        <v>180</v>
      </c>
      <c r="E350" s="130" t="s">
        <v>4178</v>
      </c>
      <c r="F350" s="131" t="s">
        <v>4179</v>
      </c>
      <c r="G350" s="132" t="s">
        <v>261</v>
      </c>
      <c r="H350" s="133">
        <v>2</v>
      </c>
      <c r="I350" s="134"/>
      <c r="J350" s="135">
        <f>ROUND(I350*H350,2)</f>
        <v>0</v>
      </c>
      <c r="K350" s="131" t="s">
        <v>184</v>
      </c>
      <c r="L350" s="33"/>
      <c r="M350" s="136" t="s">
        <v>3</v>
      </c>
      <c r="N350" s="137" t="s">
        <v>48</v>
      </c>
      <c r="P350" s="138">
        <f>O350*H350</f>
        <v>0</v>
      </c>
      <c r="Q350" s="138">
        <v>0.0192092765</v>
      </c>
      <c r="R350" s="138">
        <f>Q350*H350</f>
        <v>0.038418553</v>
      </c>
      <c r="S350" s="138">
        <v>0</v>
      </c>
      <c r="T350" s="139">
        <f>S350*H350</f>
        <v>0</v>
      </c>
      <c r="AR350" s="140" t="s">
        <v>237</v>
      </c>
      <c r="AT350" s="140" t="s">
        <v>180</v>
      </c>
      <c r="AU350" s="140" t="s">
        <v>87</v>
      </c>
      <c r="AY350" s="18" t="s">
        <v>177</v>
      </c>
      <c r="BE350" s="141">
        <f>IF(N350="základní",J350,0)</f>
        <v>0</v>
      </c>
      <c r="BF350" s="141">
        <f>IF(N350="snížená",J350,0)</f>
        <v>0</v>
      </c>
      <c r="BG350" s="141">
        <f>IF(N350="zákl. přenesená",J350,0)</f>
        <v>0</v>
      </c>
      <c r="BH350" s="141">
        <f>IF(N350="sníž. přenesená",J350,0)</f>
        <v>0</v>
      </c>
      <c r="BI350" s="141">
        <f>IF(N350="nulová",J350,0)</f>
        <v>0</v>
      </c>
      <c r="BJ350" s="18" t="s">
        <v>85</v>
      </c>
      <c r="BK350" s="141">
        <f>ROUND(I350*H350,2)</f>
        <v>0</v>
      </c>
      <c r="BL350" s="18" t="s">
        <v>237</v>
      </c>
      <c r="BM350" s="140" t="s">
        <v>4180</v>
      </c>
    </row>
    <row r="351" spans="2:47" s="1" customFormat="1" ht="19.5">
      <c r="B351" s="33"/>
      <c r="D351" s="142" t="s">
        <v>187</v>
      </c>
      <c r="F351" s="143" t="s">
        <v>4181</v>
      </c>
      <c r="I351" s="144"/>
      <c r="L351" s="33"/>
      <c r="M351" s="145"/>
      <c r="T351" s="54"/>
      <c r="AT351" s="18" t="s">
        <v>187</v>
      </c>
      <c r="AU351" s="18" t="s">
        <v>87</v>
      </c>
    </row>
    <row r="352" spans="2:47" s="1" customFormat="1" ht="11.25">
      <c r="B352" s="33"/>
      <c r="D352" s="146" t="s">
        <v>189</v>
      </c>
      <c r="F352" s="147" t="s">
        <v>4182</v>
      </c>
      <c r="I352" s="144"/>
      <c r="L352" s="33"/>
      <c r="M352" s="145"/>
      <c r="T352" s="54"/>
      <c r="AT352" s="18" t="s">
        <v>189</v>
      </c>
      <c r="AU352" s="18" t="s">
        <v>87</v>
      </c>
    </row>
    <row r="353" spans="2:47" s="1" customFormat="1" ht="97.5">
      <c r="B353" s="33"/>
      <c r="D353" s="142" t="s">
        <v>191</v>
      </c>
      <c r="F353" s="148" t="s">
        <v>4177</v>
      </c>
      <c r="I353" s="144"/>
      <c r="L353" s="33"/>
      <c r="M353" s="145"/>
      <c r="T353" s="54"/>
      <c r="AT353" s="18" t="s">
        <v>191</v>
      </c>
      <c r="AU353" s="18" t="s">
        <v>87</v>
      </c>
    </row>
    <row r="354" spans="2:65" s="1" customFormat="1" ht="24.2" customHeight="1">
      <c r="B354" s="128"/>
      <c r="C354" s="129" t="s">
        <v>1266</v>
      </c>
      <c r="D354" s="129" t="s">
        <v>180</v>
      </c>
      <c r="E354" s="130" t="s">
        <v>4183</v>
      </c>
      <c r="F354" s="131" t="s">
        <v>4184</v>
      </c>
      <c r="G354" s="132" t="s">
        <v>261</v>
      </c>
      <c r="H354" s="133">
        <v>2</v>
      </c>
      <c r="I354" s="134"/>
      <c r="J354" s="135">
        <f>ROUND(I354*H354,2)</f>
        <v>0</v>
      </c>
      <c r="K354" s="131" t="s">
        <v>184</v>
      </c>
      <c r="L354" s="33"/>
      <c r="M354" s="136" t="s">
        <v>3</v>
      </c>
      <c r="N354" s="137" t="s">
        <v>48</v>
      </c>
      <c r="P354" s="138">
        <f>O354*H354</f>
        <v>0</v>
      </c>
      <c r="Q354" s="138">
        <v>0.0168888363</v>
      </c>
      <c r="R354" s="138">
        <f>Q354*H354</f>
        <v>0.0337776726</v>
      </c>
      <c r="S354" s="138">
        <v>0</v>
      </c>
      <c r="T354" s="139">
        <f>S354*H354</f>
        <v>0</v>
      </c>
      <c r="AR354" s="140" t="s">
        <v>237</v>
      </c>
      <c r="AT354" s="140" t="s">
        <v>180</v>
      </c>
      <c r="AU354" s="140" t="s">
        <v>87</v>
      </c>
      <c r="AY354" s="18" t="s">
        <v>177</v>
      </c>
      <c r="BE354" s="141">
        <f>IF(N354="základní",J354,0)</f>
        <v>0</v>
      </c>
      <c r="BF354" s="141">
        <f>IF(N354="snížená",J354,0)</f>
        <v>0</v>
      </c>
      <c r="BG354" s="141">
        <f>IF(N354="zákl. přenesená",J354,0)</f>
        <v>0</v>
      </c>
      <c r="BH354" s="141">
        <f>IF(N354="sníž. přenesená",J354,0)</f>
        <v>0</v>
      </c>
      <c r="BI354" s="141">
        <f>IF(N354="nulová",J354,0)</f>
        <v>0</v>
      </c>
      <c r="BJ354" s="18" t="s">
        <v>85</v>
      </c>
      <c r="BK354" s="141">
        <f>ROUND(I354*H354,2)</f>
        <v>0</v>
      </c>
      <c r="BL354" s="18" t="s">
        <v>237</v>
      </c>
      <c r="BM354" s="140" t="s">
        <v>4185</v>
      </c>
    </row>
    <row r="355" spans="2:47" s="1" customFormat="1" ht="19.5">
      <c r="B355" s="33"/>
      <c r="D355" s="142" t="s">
        <v>187</v>
      </c>
      <c r="F355" s="143" t="s">
        <v>4186</v>
      </c>
      <c r="I355" s="144"/>
      <c r="L355" s="33"/>
      <c r="M355" s="145"/>
      <c r="T355" s="54"/>
      <c r="AT355" s="18" t="s">
        <v>187</v>
      </c>
      <c r="AU355" s="18" t="s">
        <v>87</v>
      </c>
    </row>
    <row r="356" spans="2:47" s="1" customFormat="1" ht="11.25">
      <c r="B356" s="33"/>
      <c r="D356" s="146" t="s">
        <v>189</v>
      </c>
      <c r="F356" s="147" t="s">
        <v>4187</v>
      </c>
      <c r="I356" s="144"/>
      <c r="L356" s="33"/>
      <c r="M356" s="145"/>
      <c r="T356" s="54"/>
      <c r="AT356" s="18" t="s">
        <v>189</v>
      </c>
      <c r="AU356" s="18" t="s">
        <v>87</v>
      </c>
    </row>
    <row r="357" spans="2:65" s="1" customFormat="1" ht="24.2" customHeight="1">
      <c r="B357" s="128"/>
      <c r="C357" s="129" t="s">
        <v>1274</v>
      </c>
      <c r="D357" s="129" t="s">
        <v>180</v>
      </c>
      <c r="E357" s="130" t="s">
        <v>4188</v>
      </c>
      <c r="F357" s="131" t="s">
        <v>4189</v>
      </c>
      <c r="G357" s="132" t="s">
        <v>261</v>
      </c>
      <c r="H357" s="133">
        <v>2</v>
      </c>
      <c r="I357" s="134"/>
      <c r="J357" s="135">
        <f>ROUND(I357*H357,2)</f>
        <v>0</v>
      </c>
      <c r="K357" s="131" t="s">
        <v>184</v>
      </c>
      <c r="L357" s="33"/>
      <c r="M357" s="136" t="s">
        <v>3</v>
      </c>
      <c r="N357" s="137" t="s">
        <v>48</v>
      </c>
      <c r="P357" s="138">
        <f>O357*H357</f>
        <v>0</v>
      </c>
      <c r="Q357" s="138">
        <v>0.0008</v>
      </c>
      <c r="R357" s="138">
        <f>Q357*H357</f>
        <v>0.0016</v>
      </c>
      <c r="S357" s="138">
        <v>0</v>
      </c>
      <c r="T357" s="139">
        <f>S357*H357</f>
        <v>0</v>
      </c>
      <c r="AR357" s="140" t="s">
        <v>237</v>
      </c>
      <c r="AT357" s="140" t="s">
        <v>180</v>
      </c>
      <c r="AU357" s="140" t="s">
        <v>87</v>
      </c>
      <c r="AY357" s="18" t="s">
        <v>177</v>
      </c>
      <c r="BE357" s="141">
        <f>IF(N357="základní",J357,0)</f>
        <v>0</v>
      </c>
      <c r="BF357" s="141">
        <f>IF(N357="snížená",J357,0)</f>
        <v>0</v>
      </c>
      <c r="BG357" s="141">
        <f>IF(N357="zákl. přenesená",J357,0)</f>
        <v>0</v>
      </c>
      <c r="BH357" s="141">
        <f>IF(N357="sníž. přenesená",J357,0)</f>
        <v>0</v>
      </c>
      <c r="BI357" s="141">
        <f>IF(N357="nulová",J357,0)</f>
        <v>0</v>
      </c>
      <c r="BJ357" s="18" t="s">
        <v>85</v>
      </c>
      <c r="BK357" s="141">
        <f>ROUND(I357*H357,2)</f>
        <v>0</v>
      </c>
      <c r="BL357" s="18" t="s">
        <v>237</v>
      </c>
      <c r="BM357" s="140" t="s">
        <v>4190</v>
      </c>
    </row>
    <row r="358" spans="2:47" s="1" customFormat="1" ht="19.5">
      <c r="B358" s="33"/>
      <c r="D358" s="142" t="s">
        <v>187</v>
      </c>
      <c r="F358" s="143" t="s">
        <v>4191</v>
      </c>
      <c r="I358" s="144"/>
      <c r="L358" s="33"/>
      <c r="M358" s="145"/>
      <c r="T358" s="54"/>
      <c r="AT358" s="18" t="s">
        <v>187</v>
      </c>
      <c r="AU358" s="18" t="s">
        <v>87</v>
      </c>
    </row>
    <row r="359" spans="2:47" s="1" customFormat="1" ht="11.25">
      <c r="B359" s="33"/>
      <c r="D359" s="146" t="s">
        <v>189</v>
      </c>
      <c r="F359" s="147" t="s">
        <v>4192</v>
      </c>
      <c r="I359" s="144"/>
      <c r="L359" s="33"/>
      <c r="M359" s="145"/>
      <c r="T359" s="54"/>
      <c r="AT359" s="18" t="s">
        <v>189</v>
      </c>
      <c r="AU359" s="18" t="s">
        <v>87</v>
      </c>
    </row>
    <row r="360" spans="2:65" s="1" customFormat="1" ht="24.2" customHeight="1">
      <c r="B360" s="128"/>
      <c r="C360" s="129" t="s">
        <v>1282</v>
      </c>
      <c r="D360" s="129" t="s">
        <v>180</v>
      </c>
      <c r="E360" s="130" t="s">
        <v>4193</v>
      </c>
      <c r="F360" s="131" t="s">
        <v>4194</v>
      </c>
      <c r="G360" s="132" t="s">
        <v>261</v>
      </c>
      <c r="H360" s="133">
        <v>2</v>
      </c>
      <c r="I360" s="134"/>
      <c r="J360" s="135">
        <f>ROUND(I360*H360,2)</f>
        <v>0</v>
      </c>
      <c r="K360" s="131" t="s">
        <v>184</v>
      </c>
      <c r="L360" s="33"/>
      <c r="M360" s="136" t="s">
        <v>3</v>
      </c>
      <c r="N360" s="137" t="s">
        <v>48</v>
      </c>
      <c r="P360" s="138">
        <f>O360*H360</f>
        <v>0</v>
      </c>
      <c r="Q360" s="138">
        <v>0.00085</v>
      </c>
      <c r="R360" s="138">
        <f>Q360*H360</f>
        <v>0.0017</v>
      </c>
      <c r="S360" s="138">
        <v>0</v>
      </c>
      <c r="T360" s="139">
        <f>S360*H360</f>
        <v>0</v>
      </c>
      <c r="AR360" s="140" t="s">
        <v>237</v>
      </c>
      <c r="AT360" s="140" t="s">
        <v>180</v>
      </c>
      <c r="AU360" s="140" t="s">
        <v>87</v>
      </c>
      <c r="AY360" s="18" t="s">
        <v>177</v>
      </c>
      <c r="BE360" s="141">
        <f>IF(N360="základní",J360,0)</f>
        <v>0</v>
      </c>
      <c r="BF360" s="141">
        <f>IF(N360="snížená",J360,0)</f>
        <v>0</v>
      </c>
      <c r="BG360" s="141">
        <f>IF(N360="zákl. přenesená",J360,0)</f>
        <v>0</v>
      </c>
      <c r="BH360" s="141">
        <f>IF(N360="sníž. přenesená",J360,0)</f>
        <v>0</v>
      </c>
      <c r="BI360" s="141">
        <f>IF(N360="nulová",J360,0)</f>
        <v>0</v>
      </c>
      <c r="BJ360" s="18" t="s">
        <v>85</v>
      </c>
      <c r="BK360" s="141">
        <f>ROUND(I360*H360,2)</f>
        <v>0</v>
      </c>
      <c r="BL360" s="18" t="s">
        <v>237</v>
      </c>
      <c r="BM360" s="140" t="s">
        <v>4195</v>
      </c>
    </row>
    <row r="361" spans="2:47" s="1" customFormat="1" ht="19.5">
      <c r="B361" s="33"/>
      <c r="D361" s="142" t="s">
        <v>187</v>
      </c>
      <c r="F361" s="143" t="s">
        <v>4196</v>
      </c>
      <c r="I361" s="144"/>
      <c r="L361" s="33"/>
      <c r="M361" s="145"/>
      <c r="T361" s="54"/>
      <c r="AT361" s="18" t="s">
        <v>187</v>
      </c>
      <c r="AU361" s="18" t="s">
        <v>87</v>
      </c>
    </row>
    <row r="362" spans="2:47" s="1" customFormat="1" ht="11.25">
      <c r="B362" s="33"/>
      <c r="D362" s="146" t="s">
        <v>189</v>
      </c>
      <c r="F362" s="147" t="s">
        <v>4197</v>
      </c>
      <c r="I362" s="144"/>
      <c r="L362" s="33"/>
      <c r="M362" s="145"/>
      <c r="T362" s="54"/>
      <c r="AT362" s="18" t="s">
        <v>189</v>
      </c>
      <c r="AU362" s="18" t="s">
        <v>87</v>
      </c>
    </row>
    <row r="363" spans="2:65" s="1" customFormat="1" ht="24.2" customHeight="1">
      <c r="B363" s="128"/>
      <c r="C363" s="129" t="s">
        <v>1290</v>
      </c>
      <c r="D363" s="129" t="s">
        <v>180</v>
      </c>
      <c r="E363" s="130" t="s">
        <v>4198</v>
      </c>
      <c r="F363" s="131" t="s">
        <v>4199</v>
      </c>
      <c r="G363" s="132" t="s">
        <v>261</v>
      </c>
      <c r="H363" s="133">
        <v>2</v>
      </c>
      <c r="I363" s="134"/>
      <c r="J363" s="135">
        <f>ROUND(I363*H363,2)</f>
        <v>0</v>
      </c>
      <c r="K363" s="131" t="s">
        <v>184</v>
      </c>
      <c r="L363" s="33"/>
      <c r="M363" s="136" t="s">
        <v>3</v>
      </c>
      <c r="N363" s="137" t="s">
        <v>48</v>
      </c>
      <c r="P363" s="138">
        <f>O363*H363</f>
        <v>0</v>
      </c>
      <c r="Q363" s="138">
        <v>0.00085</v>
      </c>
      <c r="R363" s="138">
        <f>Q363*H363</f>
        <v>0.0017</v>
      </c>
      <c r="S363" s="138">
        <v>0</v>
      </c>
      <c r="T363" s="139">
        <f>S363*H363</f>
        <v>0</v>
      </c>
      <c r="AR363" s="140" t="s">
        <v>237</v>
      </c>
      <c r="AT363" s="140" t="s">
        <v>180</v>
      </c>
      <c r="AU363" s="140" t="s">
        <v>87</v>
      </c>
      <c r="AY363" s="18" t="s">
        <v>177</v>
      </c>
      <c r="BE363" s="141">
        <f>IF(N363="základní",J363,0)</f>
        <v>0</v>
      </c>
      <c r="BF363" s="141">
        <f>IF(N363="snížená",J363,0)</f>
        <v>0</v>
      </c>
      <c r="BG363" s="141">
        <f>IF(N363="zákl. přenesená",J363,0)</f>
        <v>0</v>
      </c>
      <c r="BH363" s="141">
        <f>IF(N363="sníž. přenesená",J363,0)</f>
        <v>0</v>
      </c>
      <c r="BI363" s="141">
        <f>IF(N363="nulová",J363,0)</f>
        <v>0</v>
      </c>
      <c r="BJ363" s="18" t="s">
        <v>85</v>
      </c>
      <c r="BK363" s="141">
        <f>ROUND(I363*H363,2)</f>
        <v>0</v>
      </c>
      <c r="BL363" s="18" t="s">
        <v>237</v>
      </c>
      <c r="BM363" s="140" t="s">
        <v>4200</v>
      </c>
    </row>
    <row r="364" spans="2:47" s="1" customFormat="1" ht="19.5">
      <c r="B364" s="33"/>
      <c r="D364" s="142" t="s">
        <v>187</v>
      </c>
      <c r="F364" s="143" t="s">
        <v>4201</v>
      </c>
      <c r="I364" s="144"/>
      <c r="L364" s="33"/>
      <c r="M364" s="145"/>
      <c r="T364" s="54"/>
      <c r="AT364" s="18" t="s">
        <v>187</v>
      </c>
      <c r="AU364" s="18" t="s">
        <v>87</v>
      </c>
    </row>
    <row r="365" spans="2:47" s="1" customFormat="1" ht="11.25">
      <c r="B365" s="33"/>
      <c r="D365" s="146" t="s">
        <v>189</v>
      </c>
      <c r="F365" s="147" t="s">
        <v>4202</v>
      </c>
      <c r="I365" s="144"/>
      <c r="L365" s="33"/>
      <c r="M365" s="145"/>
      <c r="T365" s="54"/>
      <c r="AT365" s="18" t="s">
        <v>189</v>
      </c>
      <c r="AU365" s="18" t="s">
        <v>87</v>
      </c>
    </row>
    <row r="366" spans="2:65" s="1" customFormat="1" ht="24.2" customHeight="1">
      <c r="B366" s="128"/>
      <c r="C366" s="129" t="s">
        <v>1296</v>
      </c>
      <c r="D366" s="129" t="s">
        <v>180</v>
      </c>
      <c r="E366" s="130" t="s">
        <v>4203</v>
      </c>
      <c r="F366" s="131" t="s">
        <v>4204</v>
      </c>
      <c r="G366" s="132" t="s">
        <v>261</v>
      </c>
      <c r="H366" s="133">
        <v>2</v>
      </c>
      <c r="I366" s="134"/>
      <c r="J366" s="135">
        <f>ROUND(I366*H366,2)</f>
        <v>0</v>
      </c>
      <c r="K366" s="131" t="s">
        <v>184</v>
      </c>
      <c r="L366" s="33"/>
      <c r="M366" s="136" t="s">
        <v>3</v>
      </c>
      <c r="N366" s="137" t="s">
        <v>48</v>
      </c>
      <c r="P366" s="138">
        <f>O366*H366</f>
        <v>0</v>
      </c>
      <c r="Q366" s="138">
        <v>0.0147488363</v>
      </c>
      <c r="R366" s="138">
        <f>Q366*H366</f>
        <v>0.0294976726</v>
      </c>
      <c r="S366" s="138">
        <v>0</v>
      </c>
      <c r="T366" s="139">
        <f>S366*H366</f>
        <v>0</v>
      </c>
      <c r="AR366" s="140" t="s">
        <v>237</v>
      </c>
      <c r="AT366" s="140" t="s">
        <v>180</v>
      </c>
      <c r="AU366" s="140" t="s">
        <v>87</v>
      </c>
      <c r="AY366" s="18" t="s">
        <v>177</v>
      </c>
      <c r="BE366" s="141">
        <f>IF(N366="základní",J366,0)</f>
        <v>0</v>
      </c>
      <c r="BF366" s="141">
        <f>IF(N366="snížená",J366,0)</f>
        <v>0</v>
      </c>
      <c r="BG366" s="141">
        <f>IF(N366="zákl. přenesená",J366,0)</f>
        <v>0</v>
      </c>
      <c r="BH366" s="141">
        <f>IF(N366="sníž. přenesená",J366,0)</f>
        <v>0</v>
      </c>
      <c r="BI366" s="141">
        <f>IF(N366="nulová",J366,0)</f>
        <v>0</v>
      </c>
      <c r="BJ366" s="18" t="s">
        <v>85</v>
      </c>
      <c r="BK366" s="141">
        <f>ROUND(I366*H366,2)</f>
        <v>0</v>
      </c>
      <c r="BL366" s="18" t="s">
        <v>237</v>
      </c>
      <c r="BM366" s="140" t="s">
        <v>4205</v>
      </c>
    </row>
    <row r="367" spans="2:47" s="1" customFormat="1" ht="19.5">
      <c r="B367" s="33"/>
      <c r="D367" s="142" t="s">
        <v>187</v>
      </c>
      <c r="F367" s="143" t="s">
        <v>4206</v>
      </c>
      <c r="I367" s="144"/>
      <c r="L367" s="33"/>
      <c r="M367" s="145"/>
      <c r="T367" s="54"/>
      <c r="AT367" s="18" t="s">
        <v>187</v>
      </c>
      <c r="AU367" s="18" t="s">
        <v>87</v>
      </c>
    </row>
    <row r="368" spans="2:47" s="1" customFormat="1" ht="11.25">
      <c r="B368" s="33"/>
      <c r="D368" s="146" t="s">
        <v>189</v>
      </c>
      <c r="F368" s="147" t="s">
        <v>4207</v>
      </c>
      <c r="I368" s="144"/>
      <c r="L368" s="33"/>
      <c r="M368" s="145"/>
      <c r="T368" s="54"/>
      <c r="AT368" s="18" t="s">
        <v>189</v>
      </c>
      <c r="AU368" s="18" t="s">
        <v>87</v>
      </c>
    </row>
    <row r="369" spans="2:65" s="1" customFormat="1" ht="24.2" customHeight="1">
      <c r="B369" s="128"/>
      <c r="C369" s="129" t="s">
        <v>1304</v>
      </c>
      <c r="D369" s="129" t="s">
        <v>180</v>
      </c>
      <c r="E369" s="130" t="s">
        <v>4208</v>
      </c>
      <c r="F369" s="131" t="s">
        <v>4209</v>
      </c>
      <c r="G369" s="132" t="s">
        <v>236</v>
      </c>
      <c r="H369" s="133">
        <v>4</v>
      </c>
      <c r="I369" s="134"/>
      <c r="J369" s="135">
        <f>ROUND(I369*H369,2)</f>
        <v>0</v>
      </c>
      <c r="K369" s="131" t="s">
        <v>184</v>
      </c>
      <c r="L369" s="33"/>
      <c r="M369" s="136" t="s">
        <v>3</v>
      </c>
      <c r="N369" s="137" t="s">
        <v>48</v>
      </c>
      <c r="P369" s="138">
        <f>O369*H369</f>
        <v>0</v>
      </c>
      <c r="Q369" s="138">
        <v>0.00141914</v>
      </c>
      <c r="R369" s="138">
        <f>Q369*H369</f>
        <v>0.00567656</v>
      </c>
      <c r="S369" s="138">
        <v>0</v>
      </c>
      <c r="T369" s="139">
        <f>S369*H369</f>
        <v>0</v>
      </c>
      <c r="AR369" s="140" t="s">
        <v>237</v>
      </c>
      <c r="AT369" s="140" t="s">
        <v>180</v>
      </c>
      <c r="AU369" s="140" t="s">
        <v>87</v>
      </c>
      <c r="AY369" s="18" t="s">
        <v>177</v>
      </c>
      <c r="BE369" s="141">
        <f>IF(N369="základní",J369,0)</f>
        <v>0</v>
      </c>
      <c r="BF369" s="141">
        <f>IF(N369="snížená",J369,0)</f>
        <v>0</v>
      </c>
      <c r="BG369" s="141">
        <f>IF(N369="zákl. přenesená",J369,0)</f>
        <v>0</v>
      </c>
      <c r="BH369" s="141">
        <f>IF(N369="sníž. přenesená",J369,0)</f>
        <v>0</v>
      </c>
      <c r="BI369" s="141">
        <f>IF(N369="nulová",J369,0)</f>
        <v>0</v>
      </c>
      <c r="BJ369" s="18" t="s">
        <v>85</v>
      </c>
      <c r="BK369" s="141">
        <f>ROUND(I369*H369,2)</f>
        <v>0</v>
      </c>
      <c r="BL369" s="18" t="s">
        <v>237</v>
      </c>
      <c r="BM369" s="140" t="s">
        <v>4210</v>
      </c>
    </row>
    <row r="370" spans="2:47" s="1" customFormat="1" ht="19.5">
      <c r="B370" s="33"/>
      <c r="D370" s="142" t="s">
        <v>187</v>
      </c>
      <c r="F370" s="143" t="s">
        <v>4211</v>
      </c>
      <c r="I370" s="144"/>
      <c r="L370" s="33"/>
      <c r="M370" s="145"/>
      <c r="T370" s="54"/>
      <c r="AT370" s="18" t="s">
        <v>187</v>
      </c>
      <c r="AU370" s="18" t="s">
        <v>87</v>
      </c>
    </row>
    <row r="371" spans="2:47" s="1" customFormat="1" ht="11.25">
      <c r="B371" s="33"/>
      <c r="D371" s="146" t="s">
        <v>189</v>
      </c>
      <c r="F371" s="147" t="s">
        <v>4212</v>
      </c>
      <c r="I371" s="144"/>
      <c r="L371" s="33"/>
      <c r="M371" s="145"/>
      <c r="T371" s="54"/>
      <c r="AT371" s="18" t="s">
        <v>189</v>
      </c>
      <c r="AU371" s="18" t="s">
        <v>87</v>
      </c>
    </row>
    <row r="372" spans="2:65" s="1" customFormat="1" ht="24.2" customHeight="1">
      <c r="B372" s="128"/>
      <c r="C372" s="179" t="s">
        <v>1312</v>
      </c>
      <c r="D372" s="179" t="s">
        <v>484</v>
      </c>
      <c r="E372" s="180" t="s">
        <v>4213</v>
      </c>
      <c r="F372" s="181" t="s">
        <v>4214</v>
      </c>
      <c r="G372" s="182" t="s">
        <v>476</v>
      </c>
      <c r="H372" s="183">
        <v>14</v>
      </c>
      <c r="I372" s="184"/>
      <c r="J372" s="185">
        <f>ROUND(I372*H372,2)</f>
        <v>0</v>
      </c>
      <c r="K372" s="181" t="s">
        <v>184</v>
      </c>
      <c r="L372" s="186"/>
      <c r="M372" s="187" t="s">
        <v>3</v>
      </c>
      <c r="N372" s="188" t="s">
        <v>48</v>
      </c>
      <c r="P372" s="138">
        <f>O372*H372</f>
        <v>0</v>
      </c>
      <c r="Q372" s="138">
        <v>0.00018</v>
      </c>
      <c r="R372" s="138">
        <f>Q372*H372</f>
        <v>0.00252</v>
      </c>
      <c r="S372" s="138">
        <v>0</v>
      </c>
      <c r="T372" s="139">
        <f>S372*H372</f>
        <v>0</v>
      </c>
      <c r="AR372" s="140" t="s">
        <v>537</v>
      </c>
      <c r="AT372" s="140" t="s">
        <v>484</v>
      </c>
      <c r="AU372" s="140" t="s">
        <v>87</v>
      </c>
      <c r="AY372" s="18" t="s">
        <v>177</v>
      </c>
      <c r="BE372" s="141">
        <f>IF(N372="základní",J372,0)</f>
        <v>0</v>
      </c>
      <c r="BF372" s="141">
        <f>IF(N372="snížená",J372,0)</f>
        <v>0</v>
      </c>
      <c r="BG372" s="141">
        <f>IF(N372="zákl. přenesená",J372,0)</f>
        <v>0</v>
      </c>
      <c r="BH372" s="141">
        <f>IF(N372="sníž. přenesená",J372,0)</f>
        <v>0</v>
      </c>
      <c r="BI372" s="141">
        <f>IF(N372="nulová",J372,0)</f>
        <v>0</v>
      </c>
      <c r="BJ372" s="18" t="s">
        <v>85</v>
      </c>
      <c r="BK372" s="141">
        <f>ROUND(I372*H372,2)</f>
        <v>0</v>
      </c>
      <c r="BL372" s="18" t="s">
        <v>237</v>
      </c>
      <c r="BM372" s="140" t="s">
        <v>4215</v>
      </c>
    </row>
    <row r="373" spans="2:47" s="1" customFormat="1" ht="11.25">
      <c r="B373" s="33"/>
      <c r="D373" s="142" t="s">
        <v>187</v>
      </c>
      <c r="F373" s="143" t="s">
        <v>4214</v>
      </c>
      <c r="I373" s="144"/>
      <c r="L373" s="33"/>
      <c r="M373" s="145"/>
      <c r="T373" s="54"/>
      <c r="AT373" s="18" t="s">
        <v>187</v>
      </c>
      <c r="AU373" s="18" t="s">
        <v>87</v>
      </c>
    </row>
    <row r="374" spans="2:51" s="12" customFormat="1" ht="11.25">
      <c r="B374" s="149"/>
      <c r="D374" s="142" t="s">
        <v>193</v>
      </c>
      <c r="E374" s="150" t="s">
        <v>3</v>
      </c>
      <c r="F374" s="151" t="s">
        <v>4216</v>
      </c>
      <c r="H374" s="152">
        <v>14</v>
      </c>
      <c r="I374" s="153"/>
      <c r="L374" s="149"/>
      <c r="M374" s="154"/>
      <c r="T374" s="155"/>
      <c r="AT374" s="150" t="s">
        <v>193</v>
      </c>
      <c r="AU374" s="150" t="s">
        <v>87</v>
      </c>
      <c r="AV374" s="12" t="s">
        <v>87</v>
      </c>
      <c r="AW374" s="12" t="s">
        <v>36</v>
      </c>
      <c r="AX374" s="12" t="s">
        <v>85</v>
      </c>
      <c r="AY374" s="150" t="s">
        <v>177</v>
      </c>
    </row>
    <row r="375" spans="2:65" s="1" customFormat="1" ht="24.2" customHeight="1">
      <c r="B375" s="128"/>
      <c r="C375" s="129" t="s">
        <v>1324</v>
      </c>
      <c r="D375" s="129" t="s">
        <v>180</v>
      </c>
      <c r="E375" s="130" t="s">
        <v>4217</v>
      </c>
      <c r="F375" s="131" t="s">
        <v>4218</v>
      </c>
      <c r="G375" s="132" t="s">
        <v>261</v>
      </c>
      <c r="H375" s="133">
        <v>24</v>
      </c>
      <c r="I375" s="134"/>
      <c r="J375" s="135">
        <f>ROUND(I375*H375,2)</f>
        <v>0</v>
      </c>
      <c r="K375" s="131" t="s">
        <v>184</v>
      </c>
      <c r="L375" s="33"/>
      <c r="M375" s="136" t="s">
        <v>3</v>
      </c>
      <c r="N375" s="137" t="s">
        <v>48</v>
      </c>
      <c r="P375" s="138">
        <f>O375*H375</f>
        <v>0</v>
      </c>
      <c r="Q375" s="138">
        <v>0.00023914</v>
      </c>
      <c r="R375" s="138">
        <f>Q375*H375</f>
        <v>0.00573936</v>
      </c>
      <c r="S375" s="138">
        <v>0</v>
      </c>
      <c r="T375" s="139">
        <f>S375*H375</f>
        <v>0</v>
      </c>
      <c r="AR375" s="140" t="s">
        <v>237</v>
      </c>
      <c r="AT375" s="140" t="s">
        <v>180</v>
      </c>
      <c r="AU375" s="140" t="s">
        <v>87</v>
      </c>
      <c r="AY375" s="18" t="s">
        <v>177</v>
      </c>
      <c r="BE375" s="141">
        <f>IF(N375="základní",J375,0)</f>
        <v>0</v>
      </c>
      <c r="BF375" s="141">
        <f>IF(N375="snížená",J375,0)</f>
        <v>0</v>
      </c>
      <c r="BG375" s="141">
        <f>IF(N375="zákl. přenesená",J375,0)</f>
        <v>0</v>
      </c>
      <c r="BH375" s="141">
        <f>IF(N375="sníž. přenesená",J375,0)</f>
        <v>0</v>
      </c>
      <c r="BI375" s="141">
        <f>IF(N375="nulová",J375,0)</f>
        <v>0</v>
      </c>
      <c r="BJ375" s="18" t="s">
        <v>85</v>
      </c>
      <c r="BK375" s="141">
        <f>ROUND(I375*H375,2)</f>
        <v>0</v>
      </c>
      <c r="BL375" s="18" t="s">
        <v>237</v>
      </c>
      <c r="BM375" s="140" t="s">
        <v>4219</v>
      </c>
    </row>
    <row r="376" spans="2:47" s="1" customFormat="1" ht="11.25">
      <c r="B376" s="33"/>
      <c r="D376" s="142" t="s">
        <v>187</v>
      </c>
      <c r="F376" s="143" t="s">
        <v>4220</v>
      </c>
      <c r="I376" s="144"/>
      <c r="L376" s="33"/>
      <c r="M376" s="145"/>
      <c r="T376" s="54"/>
      <c r="AT376" s="18" t="s">
        <v>187</v>
      </c>
      <c r="AU376" s="18" t="s">
        <v>87</v>
      </c>
    </row>
    <row r="377" spans="2:47" s="1" customFormat="1" ht="11.25">
      <c r="B377" s="33"/>
      <c r="D377" s="146" t="s">
        <v>189</v>
      </c>
      <c r="F377" s="147" t="s">
        <v>4221</v>
      </c>
      <c r="I377" s="144"/>
      <c r="L377" s="33"/>
      <c r="M377" s="145"/>
      <c r="T377" s="54"/>
      <c r="AT377" s="18" t="s">
        <v>189</v>
      </c>
      <c r="AU377" s="18" t="s">
        <v>87</v>
      </c>
    </row>
    <row r="378" spans="2:65" s="1" customFormat="1" ht="21.75" customHeight="1">
      <c r="B378" s="128"/>
      <c r="C378" s="129" t="s">
        <v>1332</v>
      </c>
      <c r="D378" s="129" t="s">
        <v>180</v>
      </c>
      <c r="E378" s="130" t="s">
        <v>4222</v>
      </c>
      <c r="F378" s="131" t="s">
        <v>4223</v>
      </c>
      <c r="G378" s="132" t="s">
        <v>261</v>
      </c>
      <c r="H378" s="133">
        <v>10</v>
      </c>
      <c r="I378" s="134"/>
      <c r="J378" s="135">
        <f>ROUND(I378*H378,2)</f>
        <v>0</v>
      </c>
      <c r="K378" s="131" t="s">
        <v>184</v>
      </c>
      <c r="L378" s="33"/>
      <c r="M378" s="136" t="s">
        <v>3</v>
      </c>
      <c r="N378" s="137" t="s">
        <v>48</v>
      </c>
      <c r="P378" s="138">
        <f>O378*H378</f>
        <v>0</v>
      </c>
      <c r="Q378" s="138">
        <v>0.0018</v>
      </c>
      <c r="R378" s="138">
        <f>Q378*H378</f>
        <v>0.018</v>
      </c>
      <c r="S378" s="138">
        <v>0</v>
      </c>
      <c r="T378" s="139">
        <f>S378*H378</f>
        <v>0</v>
      </c>
      <c r="AR378" s="140" t="s">
        <v>237</v>
      </c>
      <c r="AT378" s="140" t="s">
        <v>180</v>
      </c>
      <c r="AU378" s="140" t="s">
        <v>87</v>
      </c>
      <c r="AY378" s="18" t="s">
        <v>177</v>
      </c>
      <c r="BE378" s="141">
        <f>IF(N378="základní",J378,0)</f>
        <v>0</v>
      </c>
      <c r="BF378" s="141">
        <f>IF(N378="snížená",J378,0)</f>
        <v>0</v>
      </c>
      <c r="BG378" s="141">
        <f>IF(N378="zákl. přenesená",J378,0)</f>
        <v>0</v>
      </c>
      <c r="BH378" s="141">
        <f>IF(N378="sníž. přenesená",J378,0)</f>
        <v>0</v>
      </c>
      <c r="BI378" s="141">
        <f>IF(N378="nulová",J378,0)</f>
        <v>0</v>
      </c>
      <c r="BJ378" s="18" t="s">
        <v>85</v>
      </c>
      <c r="BK378" s="141">
        <f>ROUND(I378*H378,2)</f>
        <v>0</v>
      </c>
      <c r="BL378" s="18" t="s">
        <v>237</v>
      </c>
      <c r="BM378" s="140" t="s">
        <v>4224</v>
      </c>
    </row>
    <row r="379" spans="2:47" s="1" customFormat="1" ht="11.25">
      <c r="B379" s="33"/>
      <c r="D379" s="142" t="s">
        <v>187</v>
      </c>
      <c r="F379" s="143" t="s">
        <v>4225</v>
      </c>
      <c r="I379" s="144"/>
      <c r="L379" s="33"/>
      <c r="M379" s="145"/>
      <c r="T379" s="54"/>
      <c r="AT379" s="18" t="s">
        <v>187</v>
      </c>
      <c r="AU379" s="18" t="s">
        <v>87</v>
      </c>
    </row>
    <row r="380" spans="2:47" s="1" customFormat="1" ht="11.25">
      <c r="B380" s="33"/>
      <c r="D380" s="146" t="s">
        <v>189</v>
      </c>
      <c r="F380" s="147" t="s">
        <v>4226</v>
      </c>
      <c r="I380" s="144"/>
      <c r="L380" s="33"/>
      <c r="M380" s="145"/>
      <c r="T380" s="54"/>
      <c r="AT380" s="18" t="s">
        <v>189</v>
      </c>
      <c r="AU380" s="18" t="s">
        <v>87</v>
      </c>
    </row>
    <row r="381" spans="2:47" s="1" customFormat="1" ht="29.25">
      <c r="B381" s="33"/>
      <c r="D381" s="142" t="s">
        <v>191</v>
      </c>
      <c r="F381" s="148" t="s">
        <v>4227</v>
      </c>
      <c r="I381" s="144"/>
      <c r="L381" s="33"/>
      <c r="M381" s="145"/>
      <c r="T381" s="54"/>
      <c r="AT381" s="18" t="s">
        <v>191</v>
      </c>
      <c r="AU381" s="18" t="s">
        <v>87</v>
      </c>
    </row>
    <row r="382" spans="2:65" s="1" customFormat="1" ht="24.2" customHeight="1">
      <c r="B382" s="128"/>
      <c r="C382" s="129" t="s">
        <v>1338</v>
      </c>
      <c r="D382" s="129" t="s">
        <v>180</v>
      </c>
      <c r="E382" s="130" t="s">
        <v>4228</v>
      </c>
      <c r="F382" s="131" t="s">
        <v>4229</v>
      </c>
      <c r="G382" s="132" t="s">
        <v>236</v>
      </c>
      <c r="H382" s="133">
        <v>2</v>
      </c>
      <c r="I382" s="134"/>
      <c r="J382" s="135">
        <f>ROUND(I382*H382,2)</f>
        <v>0</v>
      </c>
      <c r="K382" s="131" t="s">
        <v>184</v>
      </c>
      <c r="L382" s="33"/>
      <c r="M382" s="136" t="s">
        <v>3</v>
      </c>
      <c r="N382" s="137" t="s">
        <v>48</v>
      </c>
      <c r="P382" s="138">
        <f>O382*H382</f>
        <v>0</v>
      </c>
      <c r="Q382" s="138">
        <v>0.00015914</v>
      </c>
      <c r="R382" s="138">
        <f>Q382*H382</f>
        <v>0.00031828</v>
      </c>
      <c r="S382" s="138">
        <v>0</v>
      </c>
      <c r="T382" s="139">
        <f>S382*H382</f>
        <v>0</v>
      </c>
      <c r="AR382" s="140" t="s">
        <v>237</v>
      </c>
      <c r="AT382" s="140" t="s">
        <v>180</v>
      </c>
      <c r="AU382" s="140" t="s">
        <v>87</v>
      </c>
      <c r="AY382" s="18" t="s">
        <v>177</v>
      </c>
      <c r="BE382" s="141">
        <f>IF(N382="základní",J382,0)</f>
        <v>0</v>
      </c>
      <c r="BF382" s="141">
        <f>IF(N382="snížená",J382,0)</f>
        <v>0</v>
      </c>
      <c r="BG382" s="141">
        <f>IF(N382="zákl. přenesená",J382,0)</f>
        <v>0</v>
      </c>
      <c r="BH382" s="141">
        <f>IF(N382="sníž. přenesená",J382,0)</f>
        <v>0</v>
      </c>
      <c r="BI382" s="141">
        <f>IF(N382="nulová",J382,0)</f>
        <v>0</v>
      </c>
      <c r="BJ382" s="18" t="s">
        <v>85</v>
      </c>
      <c r="BK382" s="141">
        <f>ROUND(I382*H382,2)</f>
        <v>0</v>
      </c>
      <c r="BL382" s="18" t="s">
        <v>237</v>
      </c>
      <c r="BM382" s="140" t="s">
        <v>4230</v>
      </c>
    </row>
    <row r="383" spans="2:47" s="1" customFormat="1" ht="19.5">
      <c r="B383" s="33"/>
      <c r="D383" s="142" t="s">
        <v>187</v>
      </c>
      <c r="F383" s="143" t="s">
        <v>4231</v>
      </c>
      <c r="I383" s="144"/>
      <c r="L383" s="33"/>
      <c r="M383" s="145"/>
      <c r="T383" s="54"/>
      <c r="AT383" s="18" t="s">
        <v>187</v>
      </c>
      <c r="AU383" s="18" t="s">
        <v>87</v>
      </c>
    </row>
    <row r="384" spans="2:47" s="1" customFormat="1" ht="11.25">
      <c r="B384" s="33"/>
      <c r="D384" s="146" t="s">
        <v>189</v>
      </c>
      <c r="F384" s="147" t="s">
        <v>4232</v>
      </c>
      <c r="I384" s="144"/>
      <c r="L384" s="33"/>
      <c r="M384" s="145"/>
      <c r="T384" s="54"/>
      <c r="AT384" s="18" t="s">
        <v>189</v>
      </c>
      <c r="AU384" s="18" t="s">
        <v>87</v>
      </c>
    </row>
    <row r="385" spans="2:47" s="1" customFormat="1" ht="29.25">
      <c r="B385" s="33"/>
      <c r="D385" s="142" t="s">
        <v>191</v>
      </c>
      <c r="F385" s="148" t="s">
        <v>4227</v>
      </c>
      <c r="I385" s="144"/>
      <c r="L385" s="33"/>
      <c r="M385" s="145"/>
      <c r="T385" s="54"/>
      <c r="AT385" s="18" t="s">
        <v>191</v>
      </c>
      <c r="AU385" s="18" t="s">
        <v>87</v>
      </c>
    </row>
    <row r="386" spans="2:65" s="1" customFormat="1" ht="24.2" customHeight="1">
      <c r="B386" s="128"/>
      <c r="C386" s="179" t="s">
        <v>2680</v>
      </c>
      <c r="D386" s="179" t="s">
        <v>484</v>
      </c>
      <c r="E386" s="180" t="s">
        <v>4233</v>
      </c>
      <c r="F386" s="181" t="s">
        <v>4234</v>
      </c>
      <c r="G386" s="182" t="s">
        <v>236</v>
      </c>
      <c r="H386" s="183">
        <v>2</v>
      </c>
      <c r="I386" s="184"/>
      <c r="J386" s="185">
        <f>ROUND(I386*H386,2)</f>
        <v>0</v>
      </c>
      <c r="K386" s="181" t="s">
        <v>184</v>
      </c>
      <c r="L386" s="186"/>
      <c r="M386" s="187" t="s">
        <v>3</v>
      </c>
      <c r="N386" s="188" t="s">
        <v>48</v>
      </c>
      <c r="P386" s="138">
        <f>O386*H386</f>
        <v>0</v>
      </c>
      <c r="Q386" s="138">
        <v>0.00152</v>
      </c>
      <c r="R386" s="138">
        <f>Q386*H386</f>
        <v>0.00304</v>
      </c>
      <c r="S386" s="138">
        <v>0</v>
      </c>
      <c r="T386" s="139">
        <f>S386*H386</f>
        <v>0</v>
      </c>
      <c r="AR386" s="140" t="s">
        <v>537</v>
      </c>
      <c r="AT386" s="140" t="s">
        <v>484</v>
      </c>
      <c r="AU386" s="140" t="s">
        <v>87</v>
      </c>
      <c r="AY386" s="18" t="s">
        <v>177</v>
      </c>
      <c r="BE386" s="141">
        <f>IF(N386="základní",J386,0)</f>
        <v>0</v>
      </c>
      <c r="BF386" s="141">
        <f>IF(N386="snížená",J386,0)</f>
        <v>0</v>
      </c>
      <c r="BG386" s="141">
        <f>IF(N386="zákl. přenesená",J386,0)</f>
        <v>0</v>
      </c>
      <c r="BH386" s="141">
        <f>IF(N386="sníž. přenesená",J386,0)</f>
        <v>0</v>
      </c>
      <c r="BI386" s="141">
        <f>IF(N386="nulová",J386,0)</f>
        <v>0</v>
      </c>
      <c r="BJ386" s="18" t="s">
        <v>85</v>
      </c>
      <c r="BK386" s="141">
        <f>ROUND(I386*H386,2)</f>
        <v>0</v>
      </c>
      <c r="BL386" s="18" t="s">
        <v>237</v>
      </c>
      <c r="BM386" s="140" t="s">
        <v>4235</v>
      </c>
    </row>
    <row r="387" spans="2:47" s="1" customFormat="1" ht="19.5">
      <c r="B387" s="33"/>
      <c r="D387" s="142" t="s">
        <v>187</v>
      </c>
      <c r="F387" s="143" t="s">
        <v>4234</v>
      </c>
      <c r="I387" s="144"/>
      <c r="L387" s="33"/>
      <c r="M387" s="145"/>
      <c r="T387" s="54"/>
      <c r="AT387" s="18" t="s">
        <v>187</v>
      </c>
      <c r="AU387" s="18" t="s">
        <v>87</v>
      </c>
    </row>
    <row r="388" spans="2:65" s="1" customFormat="1" ht="16.5" customHeight="1">
      <c r="B388" s="128"/>
      <c r="C388" s="129" t="s">
        <v>2682</v>
      </c>
      <c r="D388" s="129" t="s">
        <v>180</v>
      </c>
      <c r="E388" s="130" t="s">
        <v>4236</v>
      </c>
      <c r="F388" s="131" t="s">
        <v>4237</v>
      </c>
      <c r="G388" s="132" t="s">
        <v>236</v>
      </c>
      <c r="H388" s="133">
        <v>10</v>
      </c>
      <c r="I388" s="134"/>
      <c r="J388" s="135">
        <f>ROUND(I388*H388,2)</f>
        <v>0</v>
      </c>
      <c r="K388" s="131" t="s">
        <v>184</v>
      </c>
      <c r="L388" s="33"/>
      <c r="M388" s="136" t="s">
        <v>3</v>
      </c>
      <c r="N388" s="137" t="s">
        <v>48</v>
      </c>
      <c r="P388" s="138">
        <f>O388*H388</f>
        <v>0</v>
      </c>
      <c r="Q388" s="138">
        <v>0.0002375</v>
      </c>
      <c r="R388" s="138">
        <f>Q388*H388</f>
        <v>0.002375</v>
      </c>
      <c r="S388" s="138">
        <v>0</v>
      </c>
      <c r="T388" s="139">
        <f>S388*H388</f>
        <v>0</v>
      </c>
      <c r="AR388" s="140" t="s">
        <v>237</v>
      </c>
      <c r="AT388" s="140" t="s">
        <v>180</v>
      </c>
      <c r="AU388" s="140" t="s">
        <v>87</v>
      </c>
      <c r="AY388" s="18" t="s">
        <v>177</v>
      </c>
      <c r="BE388" s="141">
        <f>IF(N388="základní",J388,0)</f>
        <v>0</v>
      </c>
      <c r="BF388" s="141">
        <f>IF(N388="snížená",J388,0)</f>
        <v>0</v>
      </c>
      <c r="BG388" s="141">
        <f>IF(N388="zákl. přenesená",J388,0)</f>
        <v>0</v>
      </c>
      <c r="BH388" s="141">
        <f>IF(N388="sníž. přenesená",J388,0)</f>
        <v>0</v>
      </c>
      <c r="BI388" s="141">
        <f>IF(N388="nulová",J388,0)</f>
        <v>0</v>
      </c>
      <c r="BJ388" s="18" t="s">
        <v>85</v>
      </c>
      <c r="BK388" s="141">
        <f>ROUND(I388*H388,2)</f>
        <v>0</v>
      </c>
      <c r="BL388" s="18" t="s">
        <v>237</v>
      </c>
      <c r="BM388" s="140" t="s">
        <v>4238</v>
      </c>
    </row>
    <row r="389" spans="2:47" s="1" customFormat="1" ht="11.25">
      <c r="B389" s="33"/>
      <c r="D389" s="142" t="s">
        <v>187</v>
      </c>
      <c r="F389" s="143" t="s">
        <v>4239</v>
      </c>
      <c r="I389" s="144"/>
      <c r="L389" s="33"/>
      <c r="M389" s="145"/>
      <c r="T389" s="54"/>
      <c r="AT389" s="18" t="s">
        <v>187</v>
      </c>
      <c r="AU389" s="18" t="s">
        <v>87</v>
      </c>
    </row>
    <row r="390" spans="2:47" s="1" customFormat="1" ht="11.25">
      <c r="B390" s="33"/>
      <c r="D390" s="146" t="s">
        <v>189</v>
      </c>
      <c r="F390" s="147" t="s">
        <v>4240</v>
      </c>
      <c r="I390" s="144"/>
      <c r="L390" s="33"/>
      <c r="M390" s="145"/>
      <c r="T390" s="54"/>
      <c r="AT390" s="18" t="s">
        <v>189</v>
      </c>
      <c r="AU390" s="18" t="s">
        <v>87</v>
      </c>
    </row>
    <row r="391" spans="2:47" s="1" customFormat="1" ht="97.5">
      <c r="B391" s="33"/>
      <c r="D391" s="142" t="s">
        <v>191</v>
      </c>
      <c r="F391" s="148" t="s">
        <v>4241</v>
      </c>
      <c r="I391" s="144"/>
      <c r="L391" s="33"/>
      <c r="M391" s="145"/>
      <c r="T391" s="54"/>
      <c r="AT391" s="18" t="s">
        <v>191</v>
      </c>
      <c r="AU391" s="18" t="s">
        <v>87</v>
      </c>
    </row>
    <row r="392" spans="2:65" s="1" customFormat="1" ht="16.5" customHeight="1">
      <c r="B392" s="128"/>
      <c r="C392" s="129" t="s">
        <v>2685</v>
      </c>
      <c r="D392" s="129" t="s">
        <v>180</v>
      </c>
      <c r="E392" s="130" t="s">
        <v>4242</v>
      </c>
      <c r="F392" s="131" t="s">
        <v>4243</v>
      </c>
      <c r="G392" s="132" t="s">
        <v>236</v>
      </c>
      <c r="H392" s="133">
        <v>4</v>
      </c>
      <c r="I392" s="134"/>
      <c r="J392" s="135">
        <f>ROUND(I392*H392,2)</f>
        <v>0</v>
      </c>
      <c r="K392" s="131" t="s">
        <v>184</v>
      </c>
      <c r="L392" s="33"/>
      <c r="M392" s="136" t="s">
        <v>3</v>
      </c>
      <c r="N392" s="137" t="s">
        <v>48</v>
      </c>
      <c r="P392" s="138">
        <f>O392*H392</f>
        <v>0</v>
      </c>
      <c r="Q392" s="138">
        <v>0.000275</v>
      </c>
      <c r="R392" s="138">
        <f>Q392*H392</f>
        <v>0.0011</v>
      </c>
      <c r="S392" s="138">
        <v>0</v>
      </c>
      <c r="T392" s="139">
        <f>S392*H392</f>
        <v>0</v>
      </c>
      <c r="AR392" s="140" t="s">
        <v>237</v>
      </c>
      <c r="AT392" s="140" t="s">
        <v>180</v>
      </c>
      <c r="AU392" s="140" t="s">
        <v>87</v>
      </c>
      <c r="AY392" s="18" t="s">
        <v>177</v>
      </c>
      <c r="BE392" s="141">
        <f>IF(N392="základní",J392,0)</f>
        <v>0</v>
      </c>
      <c r="BF392" s="141">
        <f>IF(N392="snížená",J392,0)</f>
        <v>0</v>
      </c>
      <c r="BG392" s="141">
        <f>IF(N392="zákl. přenesená",J392,0)</f>
        <v>0</v>
      </c>
      <c r="BH392" s="141">
        <f>IF(N392="sníž. přenesená",J392,0)</f>
        <v>0</v>
      </c>
      <c r="BI392" s="141">
        <f>IF(N392="nulová",J392,0)</f>
        <v>0</v>
      </c>
      <c r="BJ392" s="18" t="s">
        <v>85</v>
      </c>
      <c r="BK392" s="141">
        <f>ROUND(I392*H392,2)</f>
        <v>0</v>
      </c>
      <c r="BL392" s="18" t="s">
        <v>237</v>
      </c>
      <c r="BM392" s="140" t="s">
        <v>4244</v>
      </c>
    </row>
    <row r="393" spans="2:47" s="1" customFormat="1" ht="11.25">
      <c r="B393" s="33"/>
      <c r="D393" s="142" t="s">
        <v>187</v>
      </c>
      <c r="F393" s="143" t="s">
        <v>4245</v>
      </c>
      <c r="I393" s="144"/>
      <c r="L393" s="33"/>
      <c r="M393" s="145"/>
      <c r="T393" s="54"/>
      <c r="AT393" s="18" t="s">
        <v>187</v>
      </c>
      <c r="AU393" s="18" t="s">
        <v>87</v>
      </c>
    </row>
    <row r="394" spans="2:47" s="1" customFormat="1" ht="11.25">
      <c r="B394" s="33"/>
      <c r="D394" s="146" t="s">
        <v>189</v>
      </c>
      <c r="F394" s="147" t="s">
        <v>4246</v>
      </c>
      <c r="I394" s="144"/>
      <c r="L394" s="33"/>
      <c r="M394" s="145"/>
      <c r="T394" s="54"/>
      <c r="AT394" s="18" t="s">
        <v>189</v>
      </c>
      <c r="AU394" s="18" t="s">
        <v>87</v>
      </c>
    </row>
    <row r="395" spans="2:47" s="1" customFormat="1" ht="97.5">
      <c r="B395" s="33"/>
      <c r="D395" s="142" t="s">
        <v>191</v>
      </c>
      <c r="F395" s="148" t="s">
        <v>4241</v>
      </c>
      <c r="I395" s="144"/>
      <c r="L395" s="33"/>
      <c r="M395" s="145"/>
      <c r="T395" s="54"/>
      <c r="AT395" s="18" t="s">
        <v>191</v>
      </c>
      <c r="AU395" s="18" t="s">
        <v>87</v>
      </c>
    </row>
    <row r="396" spans="2:65" s="1" customFormat="1" ht="24.2" customHeight="1">
      <c r="B396" s="128"/>
      <c r="C396" s="129" t="s">
        <v>2687</v>
      </c>
      <c r="D396" s="129" t="s">
        <v>180</v>
      </c>
      <c r="E396" s="130" t="s">
        <v>4247</v>
      </c>
      <c r="F396" s="131" t="s">
        <v>4248</v>
      </c>
      <c r="G396" s="132" t="s">
        <v>183</v>
      </c>
      <c r="H396" s="133">
        <v>0.542</v>
      </c>
      <c r="I396" s="134"/>
      <c r="J396" s="135">
        <f>ROUND(I396*H396,2)</f>
        <v>0</v>
      </c>
      <c r="K396" s="131" t="s">
        <v>184</v>
      </c>
      <c r="L396" s="33"/>
      <c r="M396" s="136" t="s">
        <v>3</v>
      </c>
      <c r="N396" s="137" t="s">
        <v>48</v>
      </c>
      <c r="P396" s="138">
        <f>O396*H396</f>
        <v>0</v>
      </c>
      <c r="Q396" s="138">
        <v>0</v>
      </c>
      <c r="R396" s="138">
        <f>Q396*H396</f>
        <v>0</v>
      </c>
      <c r="S396" s="138">
        <v>0</v>
      </c>
      <c r="T396" s="139">
        <f>S396*H396</f>
        <v>0</v>
      </c>
      <c r="AR396" s="140" t="s">
        <v>237</v>
      </c>
      <c r="AT396" s="140" t="s">
        <v>180</v>
      </c>
      <c r="AU396" s="140" t="s">
        <v>87</v>
      </c>
      <c r="AY396" s="18" t="s">
        <v>177</v>
      </c>
      <c r="BE396" s="141">
        <f>IF(N396="základní",J396,0)</f>
        <v>0</v>
      </c>
      <c r="BF396" s="141">
        <f>IF(N396="snížená",J396,0)</f>
        <v>0</v>
      </c>
      <c r="BG396" s="141">
        <f>IF(N396="zákl. přenesená",J396,0)</f>
        <v>0</v>
      </c>
      <c r="BH396" s="141">
        <f>IF(N396="sníž. přenesená",J396,0)</f>
        <v>0</v>
      </c>
      <c r="BI396" s="141">
        <f>IF(N396="nulová",J396,0)</f>
        <v>0</v>
      </c>
      <c r="BJ396" s="18" t="s">
        <v>85</v>
      </c>
      <c r="BK396" s="141">
        <f>ROUND(I396*H396,2)</f>
        <v>0</v>
      </c>
      <c r="BL396" s="18" t="s">
        <v>237</v>
      </c>
      <c r="BM396" s="140" t="s">
        <v>4249</v>
      </c>
    </row>
    <row r="397" spans="2:47" s="1" customFormat="1" ht="29.25">
      <c r="B397" s="33"/>
      <c r="D397" s="142" t="s">
        <v>187</v>
      </c>
      <c r="F397" s="143" t="s">
        <v>4250</v>
      </c>
      <c r="I397" s="144"/>
      <c r="L397" s="33"/>
      <c r="M397" s="145"/>
      <c r="T397" s="54"/>
      <c r="AT397" s="18" t="s">
        <v>187</v>
      </c>
      <c r="AU397" s="18" t="s">
        <v>87</v>
      </c>
    </row>
    <row r="398" spans="2:47" s="1" customFormat="1" ht="11.25">
      <c r="B398" s="33"/>
      <c r="D398" s="146" t="s">
        <v>189</v>
      </c>
      <c r="F398" s="147" t="s">
        <v>4251</v>
      </c>
      <c r="I398" s="144"/>
      <c r="L398" s="33"/>
      <c r="M398" s="145"/>
      <c r="T398" s="54"/>
      <c r="AT398" s="18" t="s">
        <v>189</v>
      </c>
      <c r="AU398" s="18" t="s">
        <v>87</v>
      </c>
    </row>
    <row r="399" spans="2:47" s="1" customFormat="1" ht="126.75">
      <c r="B399" s="33"/>
      <c r="D399" s="142" t="s">
        <v>191</v>
      </c>
      <c r="F399" s="148" t="s">
        <v>4252</v>
      </c>
      <c r="I399" s="144"/>
      <c r="L399" s="33"/>
      <c r="M399" s="145"/>
      <c r="T399" s="54"/>
      <c r="AT399" s="18" t="s">
        <v>191</v>
      </c>
      <c r="AU399" s="18" t="s">
        <v>87</v>
      </c>
    </row>
    <row r="400" spans="2:65" s="1" customFormat="1" ht="24.2" customHeight="1">
      <c r="B400" s="128"/>
      <c r="C400" s="129" t="s">
        <v>2690</v>
      </c>
      <c r="D400" s="129" t="s">
        <v>180</v>
      </c>
      <c r="E400" s="130" t="s">
        <v>4253</v>
      </c>
      <c r="F400" s="131" t="s">
        <v>4254</v>
      </c>
      <c r="G400" s="132" t="s">
        <v>183</v>
      </c>
      <c r="H400" s="133">
        <v>0.542</v>
      </c>
      <c r="I400" s="134"/>
      <c r="J400" s="135">
        <f>ROUND(I400*H400,2)</f>
        <v>0</v>
      </c>
      <c r="K400" s="131" t="s">
        <v>184</v>
      </c>
      <c r="L400" s="33"/>
      <c r="M400" s="136" t="s">
        <v>3</v>
      </c>
      <c r="N400" s="137" t="s">
        <v>48</v>
      </c>
      <c r="P400" s="138">
        <f>O400*H400</f>
        <v>0</v>
      </c>
      <c r="Q400" s="138">
        <v>0</v>
      </c>
      <c r="R400" s="138">
        <f>Q400*H400</f>
        <v>0</v>
      </c>
      <c r="S400" s="138">
        <v>0</v>
      </c>
      <c r="T400" s="139">
        <f>S400*H400</f>
        <v>0</v>
      </c>
      <c r="AR400" s="140" t="s">
        <v>237</v>
      </c>
      <c r="AT400" s="140" t="s">
        <v>180</v>
      </c>
      <c r="AU400" s="140" t="s">
        <v>87</v>
      </c>
      <c r="AY400" s="18" t="s">
        <v>177</v>
      </c>
      <c r="BE400" s="141">
        <f>IF(N400="základní",J400,0)</f>
        <v>0</v>
      </c>
      <c r="BF400" s="141">
        <f>IF(N400="snížená",J400,0)</f>
        <v>0</v>
      </c>
      <c r="BG400" s="141">
        <f>IF(N400="zákl. přenesená",J400,0)</f>
        <v>0</v>
      </c>
      <c r="BH400" s="141">
        <f>IF(N400="sníž. přenesená",J400,0)</f>
        <v>0</v>
      </c>
      <c r="BI400" s="141">
        <f>IF(N400="nulová",J400,0)</f>
        <v>0</v>
      </c>
      <c r="BJ400" s="18" t="s">
        <v>85</v>
      </c>
      <c r="BK400" s="141">
        <f>ROUND(I400*H400,2)</f>
        <v>0</v>
      </c>
      <c r="BL400" s="18" t="s">
        <v>237</v>
      </c>
      <c r="BM400" s="140" t="s">
        <v>4255</v>
      </c>
    </row>
    <row r="401" spans="2:47" s="1" customFormat="1" ht="29.25">
      <c r="B401" s="33"/>
      <c r="D401" s="142" t="s">
        <v>187</v>
      </c>
      <c r="F401" s="143" t="s">
        <v>4256</v>
      </c>
      <c r="I401" s="144"/>
      <c r="L401" s="33"/>
      <c r="M401" s="145"/>
      <c r="T401" s="54"/>
      <c r="AT401" s="18" t="s">
        <v>187</v>
      </c>
      <c r="AU401" s="18" t="s">
        <v>87</v>
      </c>
    </row>
    <row r="402" spans="2:47" s="1" customFormat="1" ht="11.25">
      <c r="B402" s="33"/>
      <c r="D402" s="146" t="s">
        <v>189</v>
      </c>
      <c r="F402" s="147" t="s">
        <v>4257</v>
      </c>
      <c r="I402" s="144"/>
      <c r="L402" s="33"/>
      <c r="M402" s="145"/>
      <c r="T402" s="54"/>
      <c r="AT402" s="18" t="s">
        <v>189</v>
      </c>
      <c r="AU402" s="18" t="s">
        <v>87</v>
      </c>
    </row>
    <row r="403" spans="2:47" s="1" customFormat="1" ht="126.75">
      <c r="B403" s="33"/>
      <c r="D403" s="142" t="s">
        <v>191</v>
      </c>
      <c r="F403" s="148" t="s">
        <v>4252</v>
      </c>
      <c r="I403" s="144"/>
      <c r="L403" s="33"/>
      <c r="M403" s="145"/>
      <c r="T403" s="54"/>
      <c r="AT403" s="18" t="s">
        <v>191</v>
      </c>
      <c r="AU403" s="18" t="s">
        <v>87</v>
      </c>
    </row>
    <row r="404" spans="2:63" s="11" customFormat="1" ht="22.9" customHeight="1">
      <c r="B404" s="116"/>
      <c r="D404" s="117" t="s">
        <v>76</v>
      </c>
      <c r="E404" s="126" t="s">
        <v>4258</v>
      </c>
      <c r="F404" s="126" t="s">
        <v>4259</v>
      </c>
      <c r="I404" s="119"/>
      <c r="J404" s="127">
        <f>BK404</f>
        <v>0</v>
      </c>
      <c r="L404" s="116"/>
      <c r="M404" s="121"/>
      <c r="P404" s="122">
        <f>SUM(P405:P424)</f>
        <v>0</v>
      </c>
      <c r="R404" s="122">
        <f>SUM(R405:R424)</f>
        <v>0.17985</v>
      </c>
      <c r="T404" s="123">
        <f>SUM(T405:T424)</f>
        <v>0</v>
      </c>
      <c r="AR404" s="117" t="s">
        <v>87</v>
      </c>
      <c r="AT404" s="124" t="s">
        <v>76</v>
      </c>
      <c r="AU404" s="124" t="s">
        <v>85</v>
      </c>
      <c r="AY404" s="117" t="s">
        <v>177</v>
      </c>
      <c r="BK404" s="125">
        <f>SUM(BK405:BK424)</f>
        <v>0</v>
      </c>
    </row>
    <row r="405" spans="2:65" s="1" customFormat="1" ht="24.2" customHeight="1">
      <c r="B405" s="128"/>
      <c r="C405" s="129" t="s">
        <v>2692</v>
      </c>
      <c r="D405" s="129" t="s">
        <v>180</v>
      </c>
      <c r="E405" s="130" t="s">
        <v>4260</v>
      </c>
      <c r="F405" s="131" t="s">
        <v>4261</v>
      </c>
      <c r="G405" s="132" t="s">
        <v>261</v>
      </c>
      <c r="H405" s="133">
        <v>2</v>
      </c>
      <c r="I405" s="134"/>
      <c r="J405" s="135">
        <f>ROUND(I405*H405,2)</f>
        <v>0</v>
      </c>
      <c r="K405" s="131" t="s">
        <v>184</v>
      </c>
      <c r="L405" s="33"/>
      <c r="M405" s="136" t="s">
        <v>3</v>
      </c>
      <c r="N405" s="137" t="s">
        <v>48</v>
      </c>
      <c r="P405" s="138">
        <f>O405*H405</f>
        <v>0</v>
      </c>
      <c r="Q405" s="138">
        <v>0.014</v>
      </c>
      <c r="R405" s="138">
        <f>Q405*H405</f>
        <v>0.028</v>
      </c>
      <c r="S405" s="138">
        <v>0</v>
      </c>
      <c r="T405" s="139">
        <f>S405*H405</f>
        <v>0</v>
      </c>
      <c r="AR405" s="140" t="s">
        <v>237</v>
      </c>
      <c r="AT405" s="140" t="s">
        <v>180</v>
      </c>
      <c r="AU405" s="140" t="s">
        <v>87</v>
      </c>
      <c r="AY405" s="18" t="s">
        <v>177</v>
      </c>
      <c r="BE405" s="141">
        <f>IF(N405="základní",J405,0)</f>
        <v>0</v>
      </c>
      <c r="BF405" s="141">
        <f>IF(N405="snížená",J405,0)</f>
        <v>0</v>
      </c>
      <c r="BG405" s="141">
        <f>IF(N405="zákl. přenesená",J405,0)</f>
        <v>0</v>
      </c>
      <c r="BH405" s="141">
        <f>IF(N405="sníž. přenesená",J405,0)</f>
        <v>0</v>
      </c>
      <c r="BI405" s="141">
        <f>IF(N405="nulová",J405,0)</f>
        <v>0</v>
      </c>
      <c r="BJ405" s="18" t="s">
        <v>85</v>
      </c>
      <c r="BK405" s="141">
        <f>ROUND(I405*H405,2)</f>
        <v>0</v>
      </c>
      <c r="BL405" s="18" t="s">
        <v>237</v>
      </c>
      <c r="BM405" s="140" t="s">
        <v>4262</v>
      </c>
    </row>
    <row r="406" spans="2:47" s="1" customFormat="1" ht="19.5">
      <c r="B406" s="33"/>
      <c r="D406" s="142" t="s">
        <v>187</v>
      </c>
      <c r="F406" s="143" t="s">
        <v>4263</v>
      </c>
      <c r="I406" s="144"/>
      <c r="L406" s="33"/>
      <c r="M406" s="145"/>
      <c r="T406" s="54"/>
      <c r="AT406" s="18" t="s">
        <v>187</v>
      </c>
      <c r="AU406" s="18" t="s">
        <v>87</v>
      </c>
    </row>
    <row r="407" spans="2:47" s="1" customFormat="1" ht="11.25">
      <c r="B407" s="33"/>
      <c r="D407" s="146" t="s">
        <v>189</v>
      </c>
      <c r="F407" s="147" t="s">
        <v>4264</v>
      </c>
      <c r="I407" s="144"/>
      <c r="L407" s="33"/>
      <c r="M407" s="145"/>
      <c r="T407" s="54"/>
      <c r="AT407" s="18" t="s">
        <v>189</v>
      </c>
      <c r="AU407" s="18" t="s">
        <v>87</v>
      </c>
    </row>
    <row r="408" spans="2:47" s="1" customFormat="1" ht="107.25">
      <c r="B408" s="33"/>
      <c r="D408" s="142" t="s">
        <v>191</v>
      </c>
      <c r="F408" s="148" t="s">
        <v>4265</v>
      </c>
      <c r="I408" s="144"/>
      <c r="L408" s="33"/>
      <c r="M408" s="145"/>
      <c r="T408" s="54"/>
      <c r="AT408" s="18" t="s">
        <v>191</v>
      </c>
      <c r="AU408" s="18" t="s">
        <v>87</v>
      </c>
    </row>
    <row r="409" spans="2:65" s="1" customFormat="1" ht="33" customHeight="1">
      <c r="B409" s="128"/>
      <c r="C409" s="129" t="s">
        <v>2694</v>
      </c>
      <c r="D409" s="129" t="s">
        <v>180</v>
      </c>
      <c r="E409" s="130" t="s">
        <v>4266</v>
      </c>
      <c r="F409" s="131" t="s">
        <v>4267</v>
      </c>
      <c r="G409" s="132" t="s">
        <v>261</v>
      </c>
      <c r="H409" s="133">
        <v>7</v>
      </c>
      <c r="I409" s="134"/>
      <c r="J409" s="135">
        <f>ROUND(I409*H409,2)</f>
        <v>0</v>
      </c>
      <c r="K409" s="131" t="s">
        <v>184</v>
      </c>
      <c r="L409" s="33"/>
      <c r="M409" s="136" t="s">
        <v>3</v>
      </c>
      <c r="N409" s="137" t="s">
        <v>48</v>
      </c>
      <c r="P409" s="138">
        <f>O409*H409</f>
        <v>0</v>
      </c>
      <c r="Q409" s="138">
        <v>0.01665</v>
      </c>
      <c r="R409" s="138">
        <f>Q409*H409</f>
        <v>0.11655000000000001</v>
      </c>
      <c r="S409" s="138">
        <v>0</v>
      </c>
      <c r="T409" s="139">
        <f>S409*H409</f>
        <v>0</v>
      </c>
      <c r="AR409" s="140" t="s">
        <v>237</v>
      </c>
      <c r="AT409" s="140" t="s">
        <v>180</v>
      </c>
      <c r="AU409" s="140" t="s">
        <v>87</v>
      </c>
      <c r="AY409" s="18" t="s">
        <v>177</v>
      </c>
      <c r="BE409" s="141">
        <f>IF(N409="základní",J409,0)</f>
        <v>0</v>
      </c>
      <c r="BF409" s="141">
        <f>IF(N409="snížená",J409,0)</f>
        <v>0</v>
      </c>
      <c r="BG409" s="141">
        <f>IF(N409="zákl. přenesená",J409,0)</f>
        <v>0</v>
      </c>
      <c r="BH409" s="141">
        <f>IF(N409="sníž. přenesená",J409,0)</f>
        <v>0</v>
      </c>
      <c r="BI409" s="141">
        <f>IF(N409="nulová",J409,0)</f>
        <v>0</v>
      </c>
      <c r="BJ409" s="18" t="s">
        <v>85</v>
      </c>
      <c r="BK409" s="141">
        <f>ROUND(I409*H409,2)</f>
        <v>0</v>
      </c>
      <c r="BL409" s="18" t="s">
        <v>237</v>
      </c>
      <c r="BM409" s="140" t="s">
        <v>4268</v>
      </c>
    </row>
    <row r="410" spans="2:47" s="1" customFormat="1" ht="29.25">
      <c r="B410" s="33"/>
      <c r="D410" s="142" t="s">
        <v>187</v>
      </c>
      <c r="F410" s="143" t="s">
        <v>4269</v>
      </c>
      <c r="I410" s="144"/>
      <c r="L410" s="33"/>
      <c r="M410" s="145"/>
      <c r="T410" s="54"/>
      <c r="AT410" s="18" t="s">
        <v>187</v>
      </c>
      <c r="AU410" s="18" t="s">
        <v>87</v>
      </c>
    </row>
    <row r="411" spans="2:47" s="1" customFormat="1" ht="11.25">
      <c r="B411" s="33"/>
      <c r="D411" s="146" t="s">
        <v>189</v>
      </c>
      <c r="F411" s="147" t="s">
        <v>4270</v>
      </c>
      <c r="I411" s="144"/>
      <c r="L411" s="33"/>
      <c r="M411" s="145"/>
      <c r="T411" s="54"/>
      <c r="AT411" s="18" t="s">
        <v>189</v>
      </c>
      <c r="AU411" s="18" t="s">
        <v>87</v>
      </c>
    </row>
    <row r="412" spans="2:47" s="1" customFormat="1" ht="107.25">
      <c r="B412" s="33"/>
      <c r="D412" s="142" t="s">
        <v>191</v>
      </c>
      <c r="F412" s="148" t="s">
        <v>4265</v>
      </c>
      <c r="I412" s="144"/>
      <c r="L412" s="33"/>
      <c r="M412" s="145"/>
      <c r="T412" s="54"/>
      <c r="AT412" s="18" t="s">
        <v>191</v>
      </c>
      <c r="AU412" s="18" t="s">
        <v>87</v>
      </c>
    </row>
    <row r="413" spans="2:65" s="1" customFormat="1" ht="33" customHeight="1">
      <c r="B413" s="128"/>
      <c r="C413" s="129" t="s">
        <v>2701</v>
      </c>
      <c r="D413" s="129" t="s">
        <v>180</v>
      </c>
      <c r="E413" s="130" t="s">
        <v>4271</v>
      </c>
      <c r="F413" s="131" t="s">
        <v>4272</v>
      </c>
      <c r="G413" s="132" t="s">
        <v>261</v>
      </c>
      <c r="H413" s="133">
        <v>2</v>
      </c>
      <c r="I413" s="134"/>
      <c r="J413" s="135">
        <f>ROUND(I413*H413,2)</f>
        <v>0</v>
      </c>
      <c r="K413" s="131" t="s">
        <v>184</v>
      </c>
      <c r="L413" s="33"/>
      <c r="M413" s="136" t="s">
        <v>3</v>
      </c>
      <c r="N413" s="137" t="s">
        <v>48</v>
      </c>
      <c r="P413" s="138">
        <f>O413*H413</f>
        <v>0</v>
      </c>
      <c r="Q413" s="138">
        <v>0.01765</v>
      </c>
      <c r="R413" s="138">
        <f>Q413*H413</f>
        <v>0.0353</v>
      </c>
      <c r="S413" s="138">
        <v>0</v>
      </c>
      <c r="T413" s="139">
        <f>S413*H413</f>
        <v>0</v>
      </c>
      <c r="AR413" s="140" t="s">
        <v>237</v>
      </c>
      <c r="AT413" s="140" t="s">
        <v>180</v>
      </c>
      <c r="AU413" s="140" t="s">
        <v>87</v>
      </c>
      <c r="AY413" s="18" t="s">
        <v>177</v>
      </c>
      <c r="BE413" s="141">
        <f>IF(N413="základní",J413,0)</f>
        <v>0</v>
      </c>
      <c r="BF413" s="141">
        <f>IF(N413="snížená",J413,0)</f>
        <v>0</v>
      </c>
      <c r="BG413" s="141">
        <f>IF(N413="zákl. přenesená",J413,0)</f>
        <v>0</v>
      </c>
      <c r="BH413" s="141">
        <f>IF(N413="sníž. přenesená",J413,0)</f>
        <v>0</v>
      </c>
      <c r="BI413" s="141">
        <f>IF(N413="nulová",J413,0)</f>
        <v>0</v>
      </c>
      <c r="BJ413" s="18" t="s">
        <v>85</v>
      </c>
      <c r="BK413" s="141">
        <f>ROUND(I413*H413,2)</f>
        <v>0</v>
      </c>
      <c r="BL413" s="18" t="s">
        <v>237</v>
      </c>
      <c r="BM413" s="140" t="s">
        <v>4273</v>
      </c>
    </row>
    <row r="414" spans="2:47" s="1" customFormat="1" ht="29.25">
      <c r="B414" s="33"/>
      <c r="D414" s="142" t="s">
        <v>187</v>
      </c>
      <c r="F414" s="143" t="s">
        <v>4274</v>
      </c>
      <c r="I414" s="144"/>
      <c r="L414" s="33"/>
      <c r="M414" s="145"/>
      <c r="T414" s="54"/>
      <c r="AT414" s="18" t="s">
        <v>187</v>
      </c>
      <c r="AU414" s="18" t="s">
        <v>87</v>
      </c>
    </row>
    <row r="415" spans="2:47" s="1" customFormat="1" ht="11.25">
      <c r="B415" s="33"/>
      <c r="D415" s="146" t="s">
        <v>189</v>
      </c>
      <c r="F415" s="147" t="s">
        <v>4275</v>
      </c>
      <c r="I415" s="144"/>
      <c r="L415" s="33"/>
      <c r="M415" s="145"/>
      <c r="T415" s="54"/>
      <c r="AT415" s="18" t="s">
        <v>189</v>
      </c>
      <c r="AU415" s="18" t="s">
        <v>87</v>
      </c>
    </row>
    <row r="416" spans="2:47" s="1" customFormat="1" ht="107.25">
      <c r="B416" s="33"/>
      <c r="D416" s="142" t="s">
        <v>191</v>
      </c>
      <c r="F416" s="148" t="s">
        <v>4265</v>
      </c>
      <c r="I416" s="144"/>
      <c r="L416" s="33"/>
      <c r="M416" s="145"/>
      <c r="T416" s="54"/>
      <c r="AT416" s="18" t="s">
        <v>191</v>
      </c>
      <c r="AU416" s="18" t="s">
        <v>87</v>
      </c>
    </row>
    <row r="417" spans="2:65" s="1" customFormat="1" ht="24.2" customHeight="1">
      <c r="B417" s="128"/>
      <c r="C417" s="129" t="s">
        <v>2706</v>
      </c>
      <c r="D417" s="129" t="s">
        <v>180</v>
      </c>
      <c r="E417" s="130" t="s">
        <v>4276</v>
      </c>
      <c r="F417" s="131" t="s">
        <v>4277</v>
      </c>
      <c r="G417" s="132" t="s">
        <v>183</v>
      </c>
      <c r="H417" s="133">
        <v>0.18</v>
      </c>
      <c r="I417" s="134"/>
      <c r="J417" s="135">
        <f>ROUND(I417*H417,2)</f>
        <v>0</v>
      </c>
      <c r="K417" s="131" t="s">
        <v>184</v>
      </c>
      <c r="L417" s="33"/>
      <c r="M417" s="136" t="s">
        <v>3</v>
      </c>
      <c r="N417" s="137" t="s">
        <v>48</v>
      </c>
      <c r="P417" s="138">
        <f>O417*H417</f>
        <v>0</v>
      </c>
      <c r="Q417" s="138">
        <v>0</v>
      </c>
      <c r="R417" s="138">
        <f>Q417*H417</f>
        <v>0</v>
      </c>
      <c r="S417" s="138">
        <v>0</v>
      </c>
      <c r="T417" s="139">
        <f>S417*H417</f>
        <v>0</v>
      </c>
      <c r="AR417" s="140" t="s">
        <v>237</v>
      </c>
      <c r="AT417" s="140" t="s">
        <v>180</v>
      </c>
      <c r="AU417" s="140" t="s">
        <v>87</v>
      </c>
      <c r="AY417" s="18" t="s">
        <v>177</v>
      </c>
      <c r="BE417" s="141">
        <f>IF(N417="základní",J417,0)</f>
        <v>0</v>
      </c>
      <c r="BF417" s="141">
        <f>IF(N417="snížená",J417,0)</f>
        <v>0</v>
      </c>
      <c r="BG417" s="141">
        <f>IF(N417="zákl. přenesená",J417,0)</f>
        <v>0</v>
      </c>
      <c r="BH417" s="141">
        <f>IF(N417="sníž. přenesená",J417,0)</f>
        <v>0</v>
      </c>
      <c r="BI417" s="141">
        <f>IF(N417="nulová",J417,0)</f>
        <v>0</v>
      </c>
      <c r="BJ417" s="18" t="s">
        <v>85</v>
      </c>
      <c r="BK417" s="141">
        <f>ROUND(I417*H417,2)</f>
        <v>0</v>
      </c>
      <c r="BL417" s="18" t="s">
        <v>237</v>
      </c>
      <c r="BM417" s="140" t="s">
        <v>4278</v>
      </c>
    </row>
    <row r="418" spans="2:47" s="1" customFormat="1" ht="29.25">
      <c r="B418" s="33"/>
      <c r="D418" s="142" t="s">
        <v>187</v>
      </c>
      <c r="F418" s="143" t="s">
        <v>4279</v>
      </c>
      <c r="I418" s="144"/>
      <c r="L418" s="33"/>
      <c r="M418" s="145"/>
      <c r="T418" s="54"/>
      <c r="AT418" s="18" t="s">
        <v>187</v>
      </c>
      <c r="AU418" s="18" t="s">
        <v>87</v>
      </c>
    </row>
    <row r="419" spans="2:47" s="1" customFormat="1" ht="11.25">
      <c r="B419" s="33"/>
      <c r="D419" s="146" t="s">
        <v>189</v>
      </c>
      <c r="F419" s="147" t="s">
        <v>4280</v>
      </c>
      <c r="I419" s="144"/>
      <c r="L419" s="33"/>
      <c r="M419" s="145"/>
      <c r="T419" s="54"/>
      <c r="AT419" s="18" t="s">
        <v>189</v>
      </c>
      <c r="AU419" s="18" t="s">
        <v>87</v>
      </c>
    </row>
    <row r="420" spans="2:47" s="1" customFormat="1" ht="126.75">
      <c r="B420" s="33"/>
      <c r="D420" s="142" t="s">
        <v>191</v>
      </c>
      <c r="F420" s="148" t="s">
        <v>2294</v>
      </c>
      <c r="I420" s="144"/>
      <c r="L420" s="33"/>
      <c r="M420" s="145"/>
      <c r="T420" s="54"/>
      <c r="AT420" s="18" t="s">
        <v>191</v>
      </c>
      <c r="AU420" s="18" t="s">
        <v>87</v>
      </c>
    </row>
    <row r="421" spans="2:65" s="1" customFormat="1" ht="24.2" customHeight="1">
      <c r="B421" s="128"/>
      <c r="C421" s="129" t="s">
        <v>2708</v>
      </c>
      <c r="D421" s="129" t="s">
        <v>180</v>
      </c>
      <c r="E421" s="130" t="s">
        <v>4281</v>
      </c>
      <c r="F421" s="131" t="s">
        <v>4282</v>
      </c>
      <c r="G421" s="132" t="s">
        <v>183</v>
      </c>
      <c r="H421" s="133">
        <v>0.18</v>
      </c>
      <c r="I421" s="134"/>
      <c r="J421" s="135">
        <f>ROUND(I421*H421,2)</f>
        <v>0</v>
      </c>
      <c r="K421" s="131" t="s">
        <v>184</v>
      </c>
      <c r="L421" s="33"/>
      <c r="M421" s="136" t="s">
        <v>3</v>
      </c>
      <c r="N421" s="137" t="s">
        <v>48</v>
      </c>
      <c r="P421" s="138">
        <f>O421*H421</f>
        <v>0</v>
      </c>
      <c r="Q421" s="138">
        <v>0</v>
      </c>
      <c r="R421" s="138">
        <f>Q421*H421</f>
        <v>0</v>
      </c>
      <c r="S421" s="138">
        <v>0</v>
      </c>
      <c r="T421" s="139">
        <f>S421*H421</f>
        <v>0</v>
      </c>
      <c r="AR421" s="140" t="s">
        <v>237</v>
      </c>
      <c r="AT421" s="140" t="s">
        <v>180</v>
      </c>
      <c r="AU421" s="140" t="s">
        <v>87</v>
      </c>
      <c r="AY421" s="18" t="s">
        <v>177</v>
      </c>
      <c r="BE421" s="141">
        <f>IF(N421="základní",J421,0)</f>
        <v>0</v>
      </c>
      <c r="BF421" s="141">
        <f>IF(N421="snížená",J421,0)</f>
        <v>0</v>
      </c>
      <c r="BG421" s="141">
        <f>IF(N421="zákl. přenesená",J421,0)</f>
        <v>0</v>
      </c>
      <c r="BH421" s="141">
        <f>IF(N421="sníž. přenesená",J421,0)</f>
        <v>0</v>
      </c>
      <c r="BI421" s="141">
        <f>IF(N421="nulová",J421,0)</f>
        <v>0</v>
      </c>
      <c r="BJ421" s="18" t="s">
        <v>85</v>
      </c>
      <c r="BK421" s="141">
        <f>ROUND(I421*H421,2)</f>
        <v>0</v>
      </c>
      <c r="BL421" s="18" t="s">
        <v>237</v>
      </c>
      <c r="BM421" s="140" t="s">
        <v>4283</v>
      </c>
    </row>
    <row r="422" spans="2:47" s="1" customFormat="1" ht="29.25">
      <c r="B422" s="33"/>
      <c r="D422" s="142" t="s">
        <v>187</v>
      </c>
      <c r="F422" s="143" t="s">
        <v>4284</v>
      </c>
      <c r="I422" s="144"/>
      <c r="L422" s="33"/>
      <c r="M422" s="145"/>
      <c r="T422" s="54"/>
      <c r="AT422" s="18" t="s">
        <v>187</v>
      </c>
      <c r="AU422" s="18" t="s">
        <v>87</v>
      </c>
    </row>
    <row r="423" spans="2:47" s="1" customFormat="1" ht="11.25">
      <c r="B423" s="33"/>
      <c r="D423" s="146" t="s">
        <v>189</v>
      </c>
      <c r="F423" s="147" t="s">
        <v>4285</v>
      </c>
      <c r="I423" s="144"/>
      <c r="L423" s="33"/>
      <c r="M423" s="145"/>
      <c r="T423" s="54"/>
      <c r="AT423" s="18" t="s">
        <v>189</v>
      </c>
      <c r="AU423" s="18" t="s">
        <v>87</v>
      </c>
    </row>
    <row r="424" spans="2:47" s="1" customFormat="1" ht="126.75">
      <c r="B424" s="33"/>
      <c r="D424" s="142" t="s">
        <v>191</v>
      </c>
      <c r="F424" s="148" t="s">
        <v>2294</v>
      </c>
      <c r="I424" s="144"/>
      <c r="L424" s="33"/>
      <c r="M424" s="145"/>
      <c r="T424" s="54"/>
      <c r="AT424" s="18" t="s">
        <v>191</v>
      </c>
      <c r="AU424" s="18" t="s">
        <v>87</v>
      </c>
    </row>
    <row r="425" spans="2:63" s="11" customFormat="1" ht="22.9" customHeight="1">
      <c r="B425" s="116"/>
      <c r="D425" s="117" t="s">
        <v>76</v>
      </c>
      <c r="E425" s="126" t="s">
        <v>4286</v>
      </c>
      <c r="F425" s="126" t="s">
        <v>4287</v>
      </c>
      <c r="I425" s="119"/>
      <c r="J425" s="127">
        <f>BK425</f>
        <v>0</v>
      </c>
      <c r="L425" s="116"/>
      <c r="M425" s="121"/>
      <c r="P425" s="122">
        <f>SUM(P426:P427)</f>
        <v>0</v>
      </c>
      <c r="R425" s="122">
        <f>SUM(R426:R427)</f>
        <v>0</v>
      </c>
      <c r="T425" s="123">
        <f>SUM(T426:T427)</f>
        <v>0</v>
      </c>
      <c r="AR425" s="117" t="s">
        <v>87</v>
      </c>
      <c r="AT425" s="124" t="s">
        <v>76</v>
      </c>
      <c r="AU425" s="124" t="s">
        <v>85</v>
      </c>
      <c r="AY425" s="117" t="s">
        <v>177</v>
      </c>
      <c r="BK425" s="125">
        <f>SUM(BK426:BK427)</f>
        <v>0</v>
      </c>
    </row>
    <row r="426" spans="2:65" s="1" customFormat="1" ht="16.5" customHeight="1">
      <c r="B426" s="128"/>
      <c r="C426" s="129" t="s">
        <v>2710</v>
      </c>
      <c r="D426" s="129" t="s">
        <v>180</v>
      </c>
      <c r="E426" s="130" t="s">
        <v>3840</v>
      </c>
      <c r="F426" s="131" t="s">
        <v>3841</v>
      </c>
      <c r="G426" s="132" t="s">
        <v>243</v>
      </c>
      <c r="H426" s="133">
        <v>1</v>
      </c>
      <c r="I426" s="134"/>
      <c r="J426" s="135">
        <f>ROUND(I426*H426,2)</f>
        <v>0</v>
      </c>
      <c r="K426" s="131" t="s">
        <v>244</v>
      </c>
      <c r="L426" s="33"/>
      <c r="M426" s="136" t="s">
        <v>3</v>
      </c>
      <c r="N426" s="137" t="s">
        <v>48</v>
      </c>
      <c r="P426" s="138">
        <f>O426*H426</f>
        <v>0</v>
      </c>
      <c r="Q426" s="138">
        <v>0</v>
      </c>
      <c r="R426" s="138">
        <f>Q426*H426</f>
        <v>0</v>
      </c>
      <c r="S426" s="138">
        <v>0</v>
      </c>
      <c r="T426" s="139">
        <f>S426*H426</f>
        <v>0</v>
      </c>
      <c r="AR426" s="140" t="s">
        <v>237</v>
      </c>
      <c r="AT426" s="140" t="s">
        <v>180</v>
      </c>
      <c r="AU426" s="140" t="s">
        <v>87</v>
      </c>
      <c r="AY426" s="18" t="s">
        <v>177</v>
      </c>
      <c r="BE426" s="141">
        <f>IF(N426="základní",J426,0)</f>
        <v>0</v>
      </c>
      <c r="BF426" s="141">
        <f>IF(N426="snížená",J426,0)</f>
        <v>0</v>
      </c>
      <c r="BG426" s="141">
        <f>IF(N426="zákl. přenesená",J426,0)</f>
        <v>0</v>
      </c>
      <c r="BH426" s="141">
        <f>IF(N426="sníž. přenesená",J426,0)</f>
        <v>0</v>
      </c>
      <c r="BI426" s="141">
        <f>IF(N426="nulová",J426,0)</f>
        <v>0</v>
      </c>
      <c r="BJ426" s="18" t="s">
        <v>85</v>
      </c>
      <c r="BK426" s="141">
        <f>ROUND(I426*H426,2)</f>
        <v>0</v>
      </c>
      <c r="BL426" s="18" t="s">
        <v>237</v>
      </c>
      <c r="BM426" s="140" t="s">
        <v>4288</v>
      </c>
    </row>
    <row r="427" spans="2:47" s="1" customFormat="1" ht="11.25">
      <c r="B427" s="33"/>
      <c r="D427" s="142" t="s">
        <v>187</v>
      </c>
      <c r="F427" s="143" t="s">
        <v>3841</v>
      </c>
      <c r="I427" s="144"/>
      <c r="L427" s="33"/>
      <c r="M427" s="145"/>
      <c r="T427" s="54"/>
      <c r="AT427" s="18" t="s">
        <v>187</v>
      </c>
      <c r="AU427" s="18" t="s">
        <v>87</v>
      </c>
    </row>
    <row r="428" spans="2:63" s="11" customFormat="1" ht="22.9" customHeight="1">
      <c r="B428" s="116"/>
      <c r="D428" s="117" t="s">
        <v>76</v>
      </c>
      <c r="E428" s="126" t="s">
        <v>4289</v>
      </c>
      <c r="F428" s="126" t="s">
        <v>4290</v>
      </c>
      <c r="I428" s="119"/>
      <c r="J428" s="127">
        <f>BK428</f>
        <v>0</v>
      </c>
      <c r="L428" s="116"/>
      <c r="M428" s="121"/>
      <c r="P428" s="122">
        <f>SUM(P429:P439)</f>
        <v>0</v>
      </c>
      <c r="R428" s="122">
        <f>SUM(R429:R439)</f>
        <v>0.0060843582</v>
      </c>
      <c r="T428" s="123">
        <f>SUM(T429:T439)</f>
        <v>0</v>
      </c>
      <c r="AR428" s="117" t="s">
        <v>87</v>
      </c>
      <c r="AT428" s="124" t="s">
        <v>76</v>
      </c>
      <c r="AU428" s="124" t="s">
        <v>85</v>
      </c>
      <c r="AY428" s="117" t="s">
        <v>177</v>
      </c>
      <c r="BK428" s="125">
        <f>SUM(BK429:BK439)</f>
        <v>0</v>
      </c>
    </row>
    <row r="429" spans="2:65" s="1" customFormat="1" ht="33" customHeight="1">
      <c r="B429" s="128"/>
      <c r="C429" s="129" t="s">
        <v>2719</v>
      </c>
      <c r="D429" s="129" t="s">
        <v>180</v>
      </c>
      <c r="E429" s="130" t="s">
        <v>4291</v>
      </c>
      <c r="F429" s="131" t="s">
        <v>4292</v>
      </c>
      <c r="G429" s="132" t="s">
        <v>261</v>
      </c>
      <c r="H429" s="133">
        <v>1</v>
      </c>
      <c r="I429" s="134"/>
      <c r="J429" s="135">
        <f>ROUND(I429*H429,2)</f>
        <v>0</v>
      </c>
      <c r="K429" s="131" t="s">
        <v>184</v>
      </c>
      <c r="L429" s="33"/>
      <c r="M429" s="136" t="s">
        <v>3</v>
      </c>
      <c r="N429" s="137" t="s">
        <v>48</v>
      </c>
      <c r="P429" s="138">
        <f>O429*H429</f>
        <v>0</v>
      </c>
      <c r="Q429" s="138">
        <v>0.0060843582</v>
      </c>
      <c r="R429" s="138">
        <f>Q429*H429</f>
        <v>0.0060843582</v>
      </c>
      <c r="S429" s="138">
        <v>0</v>
      </c>
      <c r="T429" s="139">
        <f>S429*H429</f>
        <v>0</v>
      </c>
      <c r="AR429" s="140" t="s">
        <v>237</v>
      </c>
      <c r="AT429" s="140" t="s">
        <v>180</v>
      </c>
      <c r="AU429" s="140" t="s">
        <v>87</v>
      </c>
      <c r="AY429" s="18" t="s">
        <v>177</v>
      </c>
      <c r="BE429" s="141">
        <f>IF(N429="základní",J429,0)</f>
        <v>0</v>
      </c>
      <c r="BF429" s="141">
        <f>IF(N429="snížená",J429,0)</f>
        <v>0</v>
      </c>
      <c r="BG429" s="141">
        <f>IF(N429="zákl. přenesená",J429,0)</f>
        <v>0</v>
      </c>
      <c r="BH429" s="141">
        <f>IF(N429="sníž. přenesená",J429,0)</f>
        <v>0</v>
      </c>
      <c r="BI429" s="141">
        <f>IF(N429="nulová",J429,0)</f>
        <v>0</v>
      </c>
      <c r="BJ429" s="18" t="s">
        <v>85</v>
      </c>
      <c r="BK429" s="141">
        <f>ROUND(I429*H429,2)</f>
        <v>0</v>
      </c>
      <c r="BL429" s="18" t="s">
        <v>237</v>
      </c>
      <c r="BM429" s="140" t="s">
        <v>4293</v>
      </c>
    </row>
    <row r="430" spans="2:47" s="1" customFormat="1" ht="39">
      <c r="B430" s="33"/>
      <c r="D430" s="142" t="s">
        <v>187</v>
      </c>
      <c r="F430" s="143" t="s">
        <v>4294</v>
      </c>
      <c r="I430" s="144"/>
      <c r="L430" s="33"/>
      <c r="M430" s="145"/>
      <c r="T430" s="54"/>
      <c r="AT430" s="18" t="s">
        <v>187</v>
      </c>
      <c r="AU430" s="18" t="s">
        <v>87</v>
      </c>
    </row>
    <row r="431" spans="2:47" s="1" customFormat="1" ht="11.25">
      <c r="B431" s="33"/>
      <c r="D431" s="146" t="s">
        <v>189</v>
      </c>
      <c r="F431" s="147" t="s">
        <v>4295</v>
      </c>
      <c r="I431" s="144"/>
      <c r="L431" s="33"/>
      <c r="M431" s="145"/>
      <c r="T431" s="54"/>
      <c r="AT431" s="18" t="s">
        <v>189</v>
      </c>
      <c r="AU431" s="18" t="s">
        <v>87</v>
      </c>
    </row>
    <row r="432" spans="2:65" s="1" customFormat="1" ht="21.75" customHeight="1">
      <c r="B432" s="128"/>
      <c r="C432" s="129" t="s">
        <v>2724</v>
      </c>
      <c r="D432" s="129" t="s">
        <v>180</v>
      </c>
      <c r="E432" s="130" t="s">
        <v>4296</v>
      </c>
      <c r="F432" s="131" t="s">
        <v>4297</v>
      </c>
      <c r="G432" s="132" t="s">
        <v>183</v>
      </c>
      <c r="H432" s="133">
        <v>0.006</v>
      </c>
      <c r="I432" s="134"/>
      <c r="J432" s="135">
        <f>ROUND(I432*H432,2)</f>
        <v>0</v>
      </c>
      <c r="K432" s="131" t="s">
        <v>184</v>
      </c>
      <c r="L432" s="33"/>
      <c r="M432" s="136" t="s">
        <v>3</v>
      </c>
      <c r="N432" s="137" t="s">
        <v>48</v>
      </c>
      <c r="P432" s="138">
        <f>O432*H432</f>
        <v>0</v>
      </c>
      <c r="Q432" s="138">
        <v>0</v>
      </c>
      <c r="R432" s="138">
        <f>Q432*H432</f>
        <v>0</v>
      </c>
      <c r="S432" s="138">
        <v>0</v>
      </c>
      <c r="T432" s="139">
        <f>S432*H432</f>
        <v>0</v>
      </c>
      <c r="AR432" s="140" t="s">
        <v>237</v>
      </c>
      <c r="AT432" s="140" t="s">
        <v>180</v>
      </c>
      <c r="AU432" s="140" t="s">
        <v>87</v>
      </c>
      <c r="AY432" s="18" t="s">
        <v>177</v>
      </c>
      <c r="BE432" s="141">
        <f>IF(N432="základní",J432,0)</f>
        <v>0</v>
      </c>
      <c r="BF432" s="141">
        <f>IF(N432="snížená",J432,0)</f>
        <v>0</v>
      </c>
      <c r="BG432" s="141">
        <f>IF(N432="zákl. přenesená",J432,0)</f>
        <v>0</v>
      </c>
      <c r="BH432" s="141">
        <f>IF(N432="sníž. přenesená",J432,0)</f>
        <v>0</v>
      </c>
      <c r="BI432" s="141">
        <f>IF(N432="nulová",J432,0)</f>
        <v>0</v>
      </c>
      <c r="BJ432" s="18" t="s">
        <v>85</v>
      </c>
      <c r="BK432" s="141">
        <f>ROUND(I432*H432,2)</f>
        <v>0</v>
      </c>
      <c r="BL432" s="18" t="s">
        <v>237</v>
      </c>
      <c r="BM432" s="140" t="s">
        <v>4298</v>
      </c>
    </row>
    <row r="433" spans="2:47" s="1" customFormat="1" ht="29.25">
      <c r="B433" s="33"/>
      <c r="D433" s="142" t="s">
        <v>187</v>
      </c>
      <c r="F433" s="143" t="s">
        <v>4299</v>
      </c>
      <c r="I433" s="144"/>
      <c r="L433" s="33"/>
      <c r="M433" s="145"/>
      <c r="T433" s="54"/>
      <c r="AT433" s="18" t="s">
        <v>187</v>
      </c>
      <c r="AU433" s="18" t="s">
        <v>87</v>
      </c>
    </row>
    <row r="434" spans="2:47" s="1" customFormat="1" ht="11.25">
      <c r="B434" s="33"/>
      <c r="D434" s="146" t="s">
        <v>189</v>
      </c>
      <c r="F434" s="147" t="s">
        <v>4300</v>
      </c>
      <c r="I434" s="144"/>
      <c r="L434" s="33"/>
      <c r="M434" s="145"/>
      <c r="T434" s="54"/>
      <c r="AT434" s="18" t="s">
        <v>189</v>
      </c>
      <c r="AU434" s="18" t="s">
        <v>87</v>
      </c>
    </row>
    <row r="435" spans="2:47" s="1" customFormat="1" ht="126.75">
      <c r="B435" s="33"/>
      <c r="D435" s="142" t="s">
        <v>191</v>
      </c>
      <c r="F435" s="148" t="s">
        <v>1438</v>
      </c>
      <c r="I435" s="144"/>
      <c r="L435" s="33"/>
      <c r="M435" s="145"/>
      <c r="T435" s="54"/>
      <c r="AT435" s="18" t="s">
        <v>191</v>
      </c>
      <c r="AU435" s="18" t="s">
        <v>87</v>
      </c>
    </row>
    <row r="436" spans="2:65" s="1" customFormat="1" ht="24.2" customHeight="1">
      <c r="B436" s="128"/>
      <c r="C436" s="129" t="s">
        <v>2726</v>
      </c>
      <c r="D436" s="129" t="s">
        <v>180</v>
      </c>
      <c r="E436" s="130" t="s">
        <v>4301</v>
      </c>
      <c r="F436" s="131" t="s">
        <v>4302</v>
      </c>
      <c r="G436" s="132" t="s">
        <v>183</v>
      </c>
      <c r="H436" s="133">
        <v>0.006</v>
      </c>
      <c r="I436" s="134"/>
      <c r="J436" s="135">
        <f>ROUND(I436*H436,2)</f>
        <v>0</v>
      </c>
      <c r="K436" s="131" t="s">
        <v>184</v>
      </c>
      <c r="L436" s="33"/>
      <c r="M436" s="136" t="s">
        <v>3</v>
      </c>
      <c r="N436" s="137" t="s">
        <v>48</v>
      </c>
      <c r="P436" s="138">
        <f>O436*H436</f>
        <v>0</v>
      </c>
      <c r="Q436" s="138">
        <v>0</v>
      </c>
      <c r="R436" s="138">
        <f>Q436*H436</f>
        <v>0</v>
      </c>
      <c r="S436" s="138">
        <v>0</v>
      </c>
      <c r="T436" s="139">
        <f>S436*H436</f>
        <v>0</v>
      </c>
      <c r="AR436" s="140" t="s">
        <v>237</v>
      </c>
      <c r="AT436" s="140" t="s">
        <v>180</v>
      </c>
      <c r="AU436" s="140" t="s">
        <v>87</v>
      </c>
      <c r="AY436" s="18" t="s">
        <v>177</v>
      </c>
      <c r="BE436" s="141">
        <f>IF(N436="základní",J436,0)</f>
        <v>0</v>
      </c>
      <c r="BF436" s="141">
        <f>IF(N436="snížená",J436,0)</f>
        <v>0</v>
      </c>
      <c r="BG436" s="141">
        <f>IF(N436="zákl. přenesená",J436,0)</f>
        <v>0</v>
      </c>
      <c r="BH436" s="141">
        <f>IF(N436="sníž. přenesená",J436,0)</f>
        <v>0</v>
      </c>
      <c r="BI436" s="141">
        <f>IF(N436="nulová",J436,0)</f>
        <v>0</v>
      </c>
      <c r="BJ436" s="18" t="s">
        <v>85</v>
      </c>
      <c r="BK436" s="141">
        <f>ROUND(I436*H436,2)</f>
        <v>0</v>
      </c>
      <c r="BL436" s="18" t="s">
        <v>237</v>
      </c>
      <c r="BM436" s="140" t="s">
        <v>4303</v>
      </c>
    </row>
    <row r="437" spans="2:47" s="1" customFormat="1" ht="29.25">
      <c r="B437" s="33"/>
      <c r="D437" s="142" t="s">
        <v>187</v>
      </c>
      <c r="F437" s="143" t="s">
        <v>4304</v>
      </c>
      <c r="I437" s="144"/>
      <c r="L437" s="33"/>
      <c r="M437" s="145"/>
      <c r="T437" s="54"/>
      <c r="AT437" s="18" t="s">
        <v>187</v>
      </c>
      <c r="AU437" s="18" t="s">
        <v>87</v>
      </c>
    </row>
    <row r="438" spans="2:47" s="1" customFormat="1" ht="11.25">
      <c r="B438" s="33"/>
      <c r="D438" s="146" t="s">
        <v>189</v>
      </c>
      <c r="F438" s="147" t="s">
        <v>4305</v>
      </c>
      <c r="I438" s="144"/>
      <c r="L438" s="33"/>
      <c r="M438" s="145"/>
      <c r="T438" s="54"/>
      <c r="AT438" s="18" t="s">
        <v>189</v>
      </c>
      <c r="AU438" s="18" t="s">
        <v>87</v>
      </c>
    </row>
    <row r="439" spans="2:47" s="1" customFormat="1" ht="126.75">
      <c r="B439" s="33"/>
      <c r="D439" s="142" t="s">
        <v>191</v>
      </c>
      <c r="F439" s="148" t="s">
        <v>1438</v>
      </c>
      <c r="I439" s="144"/>
      <c r="L439" s="33"/>
      <c r="M439" s="145"/>
      <c r="T439" s="54"/>
      <c r="AT439" s="18" t="s">
        <v>191</v>
      </c>
      <c r="AU439" s="18" t="s">
        <v>87</v>
      </c>
    </row>
    <row r="440" spans="2:63" s="11" customFormat="1" ht="25.9" customHeight="1">
      <c r="B440" s="116"/>
      <c r="D440" s="117" t="s">
        <v>76</v>
      </c>
      <c r="E440" s="118" t="s">
        <v>313</v>
      </c>
      <c r="F440" s="118" t="s">
        <v>314</v>
      </c>
      <c r="I440" s="119"/>
      <c r="J440" s="120">
        <f>BK440</f>
        <v>0</v>
      </c>
      <c r="L440" s="116"/>
      <c r="M440" s="121"/>
      <c r="P440" s="122">
        <f>SUM(P441:P445)</f>
        <v>0</v>
      </c>
      <c r="R440" s="122">
        <f>SUM(R441:R445)</f>
        <v>0</v>
      </c>
      <c r="T440" s="123">
        <f>SUM(T441:T445)</f>
        <v>0</v>
      </c>
      <c r="AR440" s="117" t="s">
        <v>185</v>
      </c>
      <c r="AT440" s="124" t="s">
        <v>76</v>
      </c>
      <c r="AU440" s="124" t="s">
        <v>77</v>
      </c>
      <c r="AY440" s="117" t="s">
        <v>177</v>
      </c>
      <c r="BK440" s="125">
        <f>SUM(BK441:BK445)</f>
        <v>0</v>
      </c>
    </row>
    <row r="441" spans="2:65" s="1" customFormat="1" ht="16.5" customHeight="1">
      <c r="B441" s="128"/>
      <c r="C441" s="129" t="s">
        <v>2733</v>
      </c>
      <c r="D441" s="129" t="s">
        <v>180</v>
      </c>
      <c r="E441" s="130" t="s">
        <v>528</v>
      </c>
      <c r="F441" s="131" t="s">
        <v>529</v>
      </c>
      <c r="G441" s="132" t="s">
        <v>305</v>
      </c>
      <c r="H441" s="133">
        <v>100</v>
      </c>
      <c r="I441" s="134"/>
      <c r="J441" s="135">
        <f>ROUND(I441*H441,2)</f>
        <v>0</v>
      </c>
      <c r="K441" s="131" t="s">
        <v>184</v>
      </c>
      <c r="L441" s="33"/>
      <c r="M441" s="136" t="s">
        <v>3</v>
      </c>
      <c r="N441" s="137" t="s">
        <v>48</v>
      </c>
      <c r="P441" s="138">
        <f>O441*H441</f>
        <v>0</v>
      </c>
      <c r="Q441" s="138">
        <v>0</v>
      </c>
      <c r="R441" s="138">
        <f>Q441*H441</f>
        <v>0</v>
      </c>
      <c r="S441" s="138">
        <v>0</v>
      </c>
      <c r="T441" s="139">
        <f>S441*H441</f>
        <v>0</v>
      </c>
      <c r="AR441" s="140" t="s">
        <v>318</v>
      </c>
      <c r="AT441" s="140" t="s">
        <v>180</v>
      </c>
      <c r="AU441" s="140" t="s">
        <v>85</v>
      </c>
      <c r="AY441" s="18" t="s">
        <v>177</v>
      </c>
      <c r="BE441" s="141">
        <f>IF(N441="základní",J441,0)</f>
        <v>0</v>
      </c>
      <c r="BF441" s="141">
        <f>IF(N441="snížená",J441,0)</f>
        <v>0</v>
      </c>
      <c r="BG441" s="141">
        <f>IF(N441="zákl. přenesená",J441,0)</f>
        <v>0</v>
      </c>
      <c r="BH441" s="141">
        <f>IF(N441="sníž. přenesená",J441,0)</f>
        <v>0</v>
      </c>
      <c r="BI441" s="141">
        <f>IF(N441="nulová",J441,0)</f>
        <v>0</v>
      </c>
      <c r="BJ441" s="18" t="s">
        <v>85</v>
      </c>
      <c r="BK441" s="141">
        <f>ROUND(I441*H441,2)</f>
        <v>0</v>
      </c>
      <c r="BL441" s="18" t="s">
        <v>318</v>
      </c>
      <c r="BM441" s="140" t="s">
        <v>4306</v>
      </c>
    </row>
    <row r="442" spans="2:47" s="1" customFormat="1" ht="19.5">
      <c r="B442" s="33"/>
      <c r="D442" s="142" t="s">
        <v>187</v>
      </c>
      <c r="F442" s="143" t="s">
        <v>531</v>
      </c>
      <c r="I442" s="144"/>
      <c r="L442" s="33"/>
      <c r="M442" s="145"/>
      <c r="T442" s="54"/>
      <c r="AT442" s="18" t="s">
        <v>187</v>
      </c>
      <c r="AU442" s="18" t="s">
        <v>85</v>
      </c>
    </row>
    <row r="443" spans="2:47" s="1" customFormat="1" ht="11.25">
      <c r="B443" s="33"/>
      <c r="D443" s="146" t="s">
        <v>189</v>
      </c>
      <c r="F443" s="147" t="s">
        <v>532</v>
      </c>
      <c r="I443" s="144"/>
      <c r="L443" s="33"/>
      <c r="M443" s="145"/>
      <c r="T443" s="54"/>
      <c r="AT443" s="18" t="s">
        <v>189</v>
      </c>
      <c r="AU443" s="18" t="s">
        <v>85</v>
      </c>
    </row>
    <row r="444" spans="2:51" s="13" customFormat="1" ht="11.25">
      <c r="B444" s="156"/>
      <c r="D444" s="142" t="s">
        <v>193</v>
      </c>
      <c r="E444" s="157" t="s">
        <v>3</v>
      </c>
      <c r="F444" s="158" t="s">
        <v>3853</v>
      </c>
      <c r="H444" s="157" t="s">
        <v>3</v>
      </c>
      <c r="I444" s="159"/>
      <c r="L444" s="156"/>
      <c r="M444" s="160"/>
      <c r="T444" s="161"/>
      <c r="AT444" s="157" t="s">
        <v>193</v>
      </c>
      <c r="AU444" s="157" t="s">
        <v>85</v>
      </c>
      <c r="AV444" s="13" t="s">
        <v>85</v>
      </c>
      <c r="AW444" s="13" t="s">
        <v>36</v>
      </c>
      <c r="AX444" s="13" t="s">
        <v>77</v>
      </c>
      <c r="AY444" s="157" t="s">
        <v>177</v>
      </c>
    </row>
    <row r="445" spans="2:51" s="12" customFormat="1" ht="11.25">
      <c r="B445" s="149"/>
      <c r="D445" s="142" t="s">
        <v>193</v>
      </c>
      <c r="E445" s="150" t="s">
        <v>3</v>
      </c>
      <c r="F445" s="151" t="s">
        <v>2777</v>
      </c>
      <c r="H445" s="152">
        <v>100</v>
      </c>
      <c r="I445" s="153"/>
      <c r="L445" s="149"/>
      <c r="M445" s="176"/>
      <c r="N445" s="177"/>
      <c r="O445" s="177"/>
      <c r="P445" s="177"/>
      <c r="Q445" s="177"/>
      <c r="R445" s="177"/>
      <c r="S445" s="177"/>
      <c r="T445" s="178"/>
      <c r="AT445" s="150" t="s">
        <v>193</v>
      </c>
      <c r="AU445" s="150" t="s">
        <v>85</v>
      </c>
      <c r="AV445" s="12" t="s">
        <v>87</v>
      </c>
      <c r="AW445" s="12" t="s">
        <v>36</v>
      </c>
      <c r="AX445" s="12" t="s">
        <v>85</v>
      </c>
      <c r="AY445" s="150" t="s">
        <v>177</v>
      </c>
    </row>
    <row r="446" spans="2:12" s="1" customFormat="1" ht="6.95" customHeight="1">
      <c r="B446" s="42"/>
      <c r="C446" s="43"/>
      <c r="D446" s="43"/>
      <c r="E446" s="43"/>
      <c r="F446" s="43"/>
      <c r="G446" s="43"/>
      <c r="H446" s="43"/>
      <c r="I446" s="43"/>
      <c r="J446" s="43"/>
      <c r="K446" s="43"/>
      <c r="L446" s="33"/>
    </row>
  </sheetData>
  <autoFilter ref="C92:K445"/>
  <mergeCells count="9">
    <mergeCell ref="E50:H50"/>
    <mergeCell ref="E83:H83"/>
    <mergeCell ref="E85:H85"/>
    <mergeCell ref="L2:V2"/>
    <mergeCell ref="E7:H7"/>
    <mergeCell ref="E9:H9"/>
    <mergeCell ref="E18:H18"/>
    <mergeCell ref="E27:H27"/>
    <mergeCell ref="E48:H48"/>
  </mergeCells>
  <hyperlinks>
    <hyperlink ref="F98" r:id="rId1" display="https://podminky.urs.cz/item/CS_URS_2022_02/132251101"/>
    <hyperlink ref="F102" r:id="rId2" display="https://podminky.urs.cz/item/CS_URS_2022_02/162751117"/>
    <hyperlink ref="F106" r:id="rId3" display="https://podminky.urs.cz/item/CS_URS_2022_02/162751119"/>
    <hyperlink ref="F111" r:id="rId4" display="https://podminky.urs.cz/item/CS_URS_2022_02/171201231"/>
    <hyperlink ref="F116" r:id="rId5" display="https://podminky.urs.cz/item/CS_URS_2022_02/171251201"/>
    <hyperlink ref="F120" r:id="rId6" display="https://podminky.urs.cz/item/CS_URS_2022_02/174151101"/>
    <hyperlink ref="F125" r:id="rId7" display="https://podminky.urs.cz/item/CS_URS_2022_02/175111101"/>
    <hyperlink ref="F134" r:id="rId8" display="https://podminky.urs.cz/item/CS_URS_2022_02/451573111"/>
    <hyperlink ref="F140" r:id="rId9" display="https://podminky.urs.cz/item/CS_URS_2022_02/899721111"/>
    <hyperlink ref="F143" r:id="rId10" display="https://podminky.urs.cz/item/CS_URS_2022_02/899722113"/>
    <hyperlink ref="F147" r:id="rId11" display="https://podminky.urs.cz/item/CS_URS_2022_02/953942426"/>
    <hyperlink ref="F156" r:id="rId12" display="https://podminky.urs.cz/item/CS_URS_2022_02/998018002"/>
    <hyperlink ref="F162" r:id="rId13" display="https://podminky.urs.cz/item/CS_URS_2022_02/721173403"/>
    <hyperlink ref="F167" r:id="rId14" display="https://podminky.urs.cz/item/CS_URS_2022_02/721174004"/>
    <hyperlink ref="F171" r:id="rId15" display="https://podminky.urs.cz/item/CS_URS_2022_02/721174006"/>
    <hyperlink ref="F175" r:id="rId16" display="https://podminky.urs.cz/item/CS_URS_2022_02/721174007"/>
    <hyperlink ref="F179" r:id="rId17" display="https://podminky.urs.cz/item/CS_URS_2022_02/721174024"/>
    <hyperlink ref="F183" r:id="rId18" display="https://podminky.urs.cz/item/CS_URS_2022_02/721174025"/>
    <hyperlink ref="F187" r:id="rId19" display="https://podminky.urs.cz/item/CS_URS_2022_02/721174026"/>
    <hyperlink ref="F191" r:id="rId20" display="https://podminky.urs.cz/item/CS_URS_2022_02/721174042"/>
    <hyperlink ref="F195" r:id="rId21" display="https://podminky.urs.cz/item/CS_URS_2022_02/721174043"/>
    <hyperlink ref="F199" r:id="rId22" display="https://podminky.urs.cz/item/CS_URS_2022_02/721174045"/>
    <hyperlink ref="F203" r:id="rId23" display="https://podminky.urs.cz/item/CS_URS_2022_02/721174055"/>
    <hyperlink ref="F208" r:id="rId24" display="https://podminky.urs.cz/item/CS_URS_2022_02/721174057"/>
    <hyperlink ref="F213" r:id="rId25" display="https://podminky.urs.cz/item/CS_URS_2022_02/721174062"/>
    <hyperlink ref="F217" r:id="rId26" display="https://podminky.urs.cz/item/CS_URS_2022_02/721174064"/>
    <hyperlink ref="F221" r:id="rId27" display="https://podminky.urs.cz/item/CS_URS_2022_02/721273152"/>
    <hyperlink ref="F224" r:id="rId28" display="https://podminky.urs.cz/item/CS_URS_2022_02/721273153"/>
    <hyperlink ref="F227" r:id="rId29" display="https://podminky.urs.cz/item/CS_URS_2022_02/721290111"/>
    <hyperlink ref="F230" r:id="rId30" display="https://podminky.urs.cz/item/CS_URS_2022_02/721290112"/>
    <hyperlink ref="F233" r:id="rId31" display="https://podminky.urs.cz/item/CS_URS_2022_02/998721102"/>
    <hyperlink ref="F237" r:id="rId32" display="https://podminky.urs.cz/item/CS_URS_2022_02/998721181"/>
    <hyperlink ref="F252" r:id="rId33" display="https://podminky.urs.cz/item/CS_URS_2022_02/722174002"/>
    <hyperlink ref="F255" r:id="rId34" display="https://podminky.urs.cz/item/CS_URS_2022_02/722174003"/>
    <hyperlink ref="F258" r:id="rId35" display="https://podminky.urs.cz/item/CS_URS_2022_02/722174004"/>
    <hyperlink ref="F261" r:id="rId36" display="https://podminky.urs.cz/item/CS_URS_2022_02/722174005"/>
    <hyperlink ref="F264" r:id="rId37" display="https://podminky.urs.cz/item/CS_URS_2022_02/722174022"/>
    <hyperlink ref="F267" r:id="rId38" display="https://podminky.urs.cz/item/CS_URS_2022_02/722174023"/>
    <hyperlink ref="F270" r:id="rId39" display="https://podminky.urs.cz/item/CS_URS_2022_02/722174024"/>
    <hyperlink ref="F273" r:id="rId40" display="https://podminky.urs.cz/item/CS_URS_2022_02/722174072"/>
    <hyperlink ref="F276" r:id="rId41" display="https://podminky.urs.cz/item/CS_URS_2022_02/722174073"/>
    <hyperlink ref="F279" r:id="rId42" display="https://podminky.urs.cz/item/CS_URS_2022_02/722181211"/>
    <hyperlink ref="F283" r:id="rId43" display="https://podminky.urs.cz/item/CS_URS_2022_02/722181212"/>
    <hyperlink ref="F287" r:id="rId44" display="https://podminky.urs.cz/item/CS_URS_2022_02/722181213"/>
    <hyperlink ref="F291" r:id="rId45" display="https://podminky.urs.cz/item/CS_URS_2022_02/722181241"/>
    <hyperlink ref="F295" r:id="rId46" display="https://podminky.urs.cz/item/CS_URS_2022_02/722181252"/>
    <hyperlink ref="F299" r:id="rId47" display="https://podminky.urs.cz/item/CS_URS_2022_02/722220231"/>
    <hyperlink ref="F303" r:id="rId48" display="https://podminky.urs.cz/item/CS_URS_2022_02/722220234"/>
    <hyperlink ref="F307" r:id="rId49" display="https://podminky.urs.cz/item/CS_URS_2022_02/722232043"/>
    <hyperlink ref="F310" r:id="rId50" display="https://podminky.urs.cz/item/CS_URS_2022_02/722232046"/>
    <hyperlink ref="F313" r:id="rId51" display="https://podminky.urs.cz/item/CS_URS_2022_02/722290226"/>
    <hyperlink ref="F317" r:id="rId52" display="https://podminky.urs.cz/item/CS_URS_2022_02/722290234"/>
    <hyperlink ref="F321" r:id="rId53" display="https://podminky.urs.cz/item/CS_URS_2022_02/998722102"/>
    <hyperlink ref="F325" r:id="rId54" display="https://podminky.urs.cz/item/CS_URS_2022_02/998722181"/>
    <hyperlink ref="F330" r:id="rId55" display="https://podminky.urs.cz/item/CS_URS_2022_02/725112022"/>
    <hyperlink ref="F334" r:id="rId56" display="https://podminky.urs.cz/item/CS_URS_2022_02/725112022"/>
    <hyperlink ref="F338" r:id="rId57" display="https://podminky.urs.cz/item/CS_URS_2022_02/725113913"/>
    <hyperlink ref="F341" r:id="rId58" display="https://podminky.urs.cz/item/CS_URS_2022_02/725113914"/>
    <hyperlink ref="F344" r:id="rId59" display="https://podminky.urs.cz/item/CS_URS_2022_02/725121527"/>
    <hyperlink ref="F348" r:id="rId60" display="https://podminky.urs.cz/item/CS_URS_2022_02/725211616"/>
    <hyperlink ref="F352" r:id="rId61" display="https://podminky.urs.cz/item/CS_URS_2022_02/725211681"/>
    <hyperlink ref="F356" r:id="rId62" display="https://podminky.urs.cz/item/CS_URS_2022_02/725231203"/>
    <hyperlink ref="F359" r:id="rId63" display="https://podminky.urs.cz/item/CS_URS_2022_02/725291703"/>
    <hyperlink ref="F362" r:id="rId64" display="https://podminky.urs.cz/item/CS_URS_2022_02/725291712"/>
    <hyperlink ref="F365" r:id="rId65" display="https://podminky.urs.cz/item/CS_URS_2022_02/725291722"/>
    <hyperlink ref="F368" r:id="rId66" display="https://podminky.urs.cz/item/CS_URS_2022_02/725331111"/>
    <hyperlink ref="F371" r:id="rId67" display="https://podminky.urs.cz/item/CS_URS_2022_02/725811301"/>
    <hyperlink ref="F377" r:id="rId68" display="https://podminky.urs.cz/item/CS_URS_2022_02/725813111"/>
    <hyperlink ref="F380" r:id="rId69" display="https://podminky.urs.cz/item/CS_URS_2022_02/725822611"/>
    <hyperlink ref="F384" r:id="rId70" display="https://podminky.urs.cz/item/CS_URS_2022_02/725829121"/>
    <hyperlink ref="F390" r:id="rId71" display="https://podminky.urs.cz/item/CS_URS_2022_02/725861102"/>
    <hyperlink ref="F394" r:id="rId72" display="https://podminky.urs.cz/item/CS_URS_2022_02/725865411"/>
    <hyperlink ref="F398" r:id="rId73" display="https://podminky.urs.cz/item/CS_URS_2022_02/998725102"/>
    <hyperlink ref="F402" r:id="rId74" display="https://podminky.urs.cz/item/CS_URS_2022_02/998725181"/>
    <hyperlink ref="F407" r:id="rId75" display="https://podminky.urs.cz/item/CS_URS_2022_02/726131011"/>
    <hyperlink ref="F411" r:id="rId76" display="https://podminky.urs.cz/item/CS_URS_2022_02/726131041"/>
    <hyperlink ref="F415" r:id="rId77" display="https://podminky.urs.cz/item/CS_URS_2022_02/726131043"/>
    <hyperlink ref="F419" r:id="rId78" display="https://podminky.urs.cz/item/CS_URS_2022_02/998726112"/>
    <hyperlink ref="F423" r:id="rId79" display="https://podminky.urs.cz/item/CS_URS_2022_02/998726181"/>
    <hyperlink ref="F431" r:id="rId80" display="https://podminky.urs.cz/item/CS_URS_2022_02/732421406"/>
    <hyperlink ref="F434" r:id="rId81" display="https://podminky.urs.cz/item/CS_URS_2022_02/998732101"/>
    <hyperlink ref="F438" r:id="rId82" display="https://podminky.urs.cz/item/CS_URS_2022_02/998732181"/>
    <hyperlink ref="F443" r:id="rId83"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M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141</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4307</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ROUND(J82,2)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ROUND((SUM(BE82:BE96)),2)</f>
        <v>0</v>
      </c>
      <c r="I33" s="90">
        <v>0.21</v>
      </c>
      <c r="J33" s="89">
        <f>ROUND(((SUM(BE82:BE96))*I33),2)</f>
        <v>0</v>
      </c>
      <c r="L33" s="33"/>
    </row>
    <row r="34" spans="2:12" s="1" customFormat="1" ht="14.45" customHeight="1">
      <c r="B34" s="33"/>
      <c r="E34" s="28" t="s">
        <v>49</v>
      </c>
      <c r="F34" s="89">
        <f>ROUND((SUM(BF82:BF96)),2)</f>
        <v>0</v>
      </c>
      <c r="I34" s="90">
        <v>0.15</v>
      </c>
      <c r="J34" s="89">
        <f>ROUND(((SUM(BF82:BF96))*I34),2)</f>
        <v>0</v>
      </c>
      <c r="L34" s="33"/>
    </row>
    <row r="35" spans="2:12" s="1" customFormat="1" ht="14.45" customHeight="1" hidden="1">
      <c r="B35" s="33"/>
      <c r="E35" s="28" t="s">
        <v>50</v>
      </c>
      <c r="F35" s="89">
        <f>ROUND((SUM(BG82:BG96)),2)</f>
        <v>0</v>
      </c>
      <c r="I35" s="90">
        <v>0.21</v>
      </c>
      <c r="J35" s="89">
        <f>0</f>
        <v>0</v>
      </c>
      <c r="L35" s="33"/>
    </row>
    <row r="36" spans="2:12" s="1" customFormat="1" ht="14.45" customHeight="1" hidden="1">
      <c r="B36" s="33"/>
      <c r="E36" s="28" t="s">
        <v>51</v>
      </c>
      <c r="F36" s="89">
        <f>ROUND((SUM(BH82:BH96)),2)</f>
        <v>0</v>
      </c>
      <c r="I36" s="90">
        <v>0.15</v>
      </c>
      <c r="J36" s="89">
        <f>0</f>
        <v>0</v>
      </c>
      <c r="L36" s="33"/>
    </row>
    <row r="37" spans="2:12" s="1" customFormat="1" ht="14.45" customHeight="1" hidden="1">
      <c r="B37" s="33"/>
      <c r="E37" s="28" t="s">
        <v>52</v>
      </c>
      <c r="F37" s="89">
        <f>ROUND((SUM(BI82:BI96)),2)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SO 5 - VZT</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J82</f>
        <v>0</v>
      </c>
      <c r="L59" s="33"/>
      <c r="AU59" s="18" t="s">
        <v>152</v>
      </c>
    </row>
    <row r="60" spans="2:12" s="8" customFormat="1" ht="24.95" customHeight="1">
      <c r="B60" s="100"/>
      <c r="D60" s="101" t="s">
        <v>155</v>
      </c>
      <c r="E60" s="102"/>
      <c r="F60" s="102"/>
      <c r="G60" s="102"/>
      <c r="H60" s="102"/>
      <c r="I60" s="102"/>
      <c r="J60" s="103">
        <f>J83</f>
        <v>0</v>
      </c>
      <c r="L60" s="100"/>
    </row>
    <row r="61" spans="2:12" s="9" customFormat="1" ht="19.9" customHeight="1">
      <c r="B61" s="104"/>
      <c r="D61" s="105" t="s">
        <v>160</v>
      </c>
      <c r="E61" s="106"/>
      <c r="F61" s="106"/>
      <c r="G61" s="106"/>
      <c r="H61" s="106"/>
      <c r="I61" s="106"/>
      <c r="J61" s="107">
        <f>J84</f>
        <v>0</v>
      </c>
      <c r="L61" s="104"/>
    </row>
    <row r="62" spans="2:12" s="8" customFormat="1" ht="24.95" customHeight="1">
      <c r="B62" s="100"/>
      <c r="D62" s="101" t="s">
        <v>161</v>
      </c>
      <c r="E62" s="102"/>
      <c r="F62" s="102"/>
      <c r="G62" s="102"/>
      <c r="H62" s="102"/>
      <c r="I62" s="102"/>
      <c r="J62" s="103">
        <f>J91</f>
        <v>0</v>
      </c>
      <c r="L62" s="100"/>
    </row>
    <row r="63" spans="2:12" s="1" customFormat="1" ht="21.75" customHeight="1">
      <c r="B63" s="33"/>
      <c r="L63" s="33"/>
    </row>
    <row r="64" spans="2:12" s="1" customFormat="1" ht="6.95" customHeight="1">
      <c r="B64" s="42"/>
      <c r="C64" s="43"/>
      <c r="D64" s="43"/>
      <c r="E64" s="43"/>
      <c r="F64" s="43"/>
      <c r="G64" s="43"/>
      <c r="H64" s="43"/>
      <c r="I64" s="43"/>
      <c r="J64" s="43"/>
      <c r="K64" s="43"/>
      <c r="L64" s="33"/>
    </row>
    <row r="68" spans="2:12" s="1" customFormat="1" ht="6.95" customHeight="1">
      <c r="B68" s="44"/>
      <c r="C68" s="45"/>
      <c r="D68" s="45"/>
      <c r="E68" s="45"/>
      <c r="F68" s="45"/>
      <c r="G68" s="45"/>
      <c r="H68" s="45"/>
      <c r="I68" s="45"/>
      <c r="J68" s="45"/>
      <c r="K68" s="45"/>
      <c r="L68" s="33"/>
    </row>
    <row r="69" spans="2:12" s="1" customFormat="1" ht="24.95" customHeight="1">
      <c r="B69" s="33"/>
      <c r="C69" s="22" t="s">
        <v>162</v>
      </c>
      <c r="L69" s="33"/>
    </row>
    <row r="70" spans="2:12" s="1" customFormat="1" ht="6.95" customHeight="1">
      <c r="B70" s="33"/>
      <c r="L70" s="33"/>
    </row>
    <row r="71" spans="2:12" s="1" customFormat="1" ht="12" customHeight="1">
      <c r="B71" s="33"/>
      <c r="C71" s="28" t="s">
        <v>17</v>
      </c>
      <c r="L71" s="33"/>
    </row>
    <row r="72" spans="2:12" s="1" customFormat="1" ht="16.5" customHeight="1">
      <c r="B72" s="33"/>
      <c r="E72" s="315" t="str">
        <f>E7</f>
        <v>ZŠ P. HOLÉHO - PŘESTAVBA PLAVECKÉHO PAVILONU</v>
      </c>
      <c r="F72" s="316"/>
      <c r="G72" s="316"/>
      <c r="H72" s="316"/>
      <c r="L72" s="33"/>
    </row>
    <row r="73" spans="2:12" s="1" customFormat="1" ht="12" customHeight="1">
      <c r="B73" s="33"/>
      <c r="C73" s="28" t="s">
        <v>146</v>
      </c>
      <c r="L73" s="33"/>
    </row>
    <row r="74" spans="2:12" s="1" customFormat="1" ht="16.5" customHeight="1">
      <c r="B74" s="33"/>
      <c r="E74" s="281" t="str">
        <f>E9</f>
        <v>SO 5 - VZT</v>
      </c>
      <c r="F74" s="317"/>
      <c r="G74" s="317"/>
      <c r="H74" s="317"/>
      <c r="L74" s="33"/>
    </row>
    <row r="75" spans="2:12" s="1" customFormat="1" ht="6.95" customHeight="1">
      <c r="B75" s="33"/>
      <c r="L75" s="33"/>
    </row>
    <row r="76" spans="2:12" s="1" customFormat="1" ht="12" customHeight="1">
      <c r="B76" s="33"/>
      <c r="C76" s="28" t="s">
        <v>21</v>
      </c>
      <c r="F76" s="26" t="str">
        <f>F12</f>
        <v>Prokopa Holého 2632, Louny, 440 01</v>
      </c>
      <c r="I76" s="28" t="s">
        <v>23</v>
      </c>
      <c r="J76" s="50" t="str">
        <f>IF(J12="","",J12)</f>
        <v>21. 9. 2022</v>
      </c>
      <c r="L76" s="33"/>
    </row>
    <row r="77" spans="2:12" s="1" customFormat="1" ht="6.95" customHeight="1">
      <c r="B77" s="33"/>
      <c r="L77" s="33"/>
    </row>
    <row r="78" spans="2:12" s="1" customFormat="1" ht="15.2" customHeight="1">
      <c r="B78" s="33"/>
      <c r="C78" s="28" t="s">
        <v>25</v>
      </c>
      <c r="F78" s="26" t="str">
        <f>E15</f>
        <v>Město Louny</v>
      </c>
      <c r="I78" s="28" t="s">
        <v>32</v>
      </c>
      <c r="J78" s="31" t="str">
        <f>E21</f>
        <v>RYSIK Design s.r.o.</v>
      </c>
      <c r="L78" s="33"/>
    </row>
    <row r="79" spans="2:12" s="1" customFormat="1" ht="25.7" customHeight="1">
      <c r="B79" s="33"/>
      <c r="C79" s="28" t="s">
        <v>30</v>
      </c>
      <c r="F79" s="26" t="str">
        <f>IF(E18="","",E18)</f>
        <v>Vyplň údaj</v>
      </c>
      <c r="I79" s="28" t="s">
        <v>37</v>
      </c>
      <c r="J79" s="31" t="str">
        <f>E24</f>
        <v>ing. Kateřina Tumpachová</v>
      </c>
      <c r="L79" s="33"/>
    </row>
    <row r="80" spans="2:12" s="1" customFormat="1" ht="10.35" customHeight="1">
      <c r="B80" s="33"/>
      <c r="L80" s="33"/>
    </row>
    <row r="81" spans="2:20" s="10" customFormat="1" ht="29.25" customHeight="1">
      <c r="B81" s="108"/>
      <c r="C81" s="109" t="s">
        <v>163</v>
      </c>
      <c r="D81" s="110" t="s">
        <v>62</v>
      </c>
      <c r="E81" s="110" t="s">
        <v>58</v>
      </c>
      <c r="F81" s="110" t="s">
        <v>59</v>
      </c>
      <c r="G81" s="110" t="s">
        <v>164</v>
      </c>
      <c r="H81" s="110" t="s">
        <v>165</v>
      </c>
      <c r="I81" s="110" t="s">
        <v>166</v>
      </c>
      <c r="J81" s="110" t="s">
        <v>151</v>
      </c>
      <c r="K81" s="111" t="s">
        <v>167</v>
      </c>
      <c r="L81" s="108"/>
      <c r="M81" s="57" t="s">
        <v>3</v>
      </c>
      <c r="N81" s="58" t="s">
        <v>47</v>
      </c>
      <c r="O81" s="58" t="s">
        <v>168</v>
      </c>
      <c r="P81" s="58" t="s">
        <v>169</v>
      </c>
      <c r="Q81" s="58" t="s">
        <v>170</v>
      </c>
      <c r="R81" s="58" t="s">
        <v>171</v>
      </c>
      <c r="S81" s="58" t="s">
        <v>172</v>
      </c>
      <c r="T81" s="59" t="s">
        <v>173</v>
      </c>
    </row>
    <row r="82" spans="2:63" s="1" customFormat="1" ht="22.9" customHeight="1">
      <c r="B82" s="33"/>
      <c r="C82" s="62" t="s">
        <v>174</v>
      </c>
      <c r="J82" s="112">
        <f>BK82</f>
        <v>0</v>
      </c>
      <c r="L82" s="33"/>
      <c r="M82" s="60"/>
      <c r="N82" s="51"/>
      <c r="O82" s="51"/>
      <c r="P82" s="113">
        <f>P83+P91</f>
        <v>0</v>
      </c>
      <c r="Q82" s="51"/>
      <c r="R82" s="113">
        <f>R83+R91</f>
        <v>0</v>
      </c>
      <c r="S82" s="51"/>
      <c r="T82" s="114">
        <f>T83+T91</f>
        <v>0</v>
      </c>
      <c r="AT82" s="18" t="s">
        <v>76</v>
      </c>
      <c r="AU82" s="18" t="s">
        <v>152</v>
      </c>
      <c r="BK82" s="115">
        <f>BK83+BK91</f>
        <v>0</v>
      </c>
    </row>
    <row r="83" spans="2:63" s="11" customFormat="1" ht="25.9" customHeight="1">
      <c r="B83" s="116"/>
      <c r="D83" s="117" t="s">
        <v>76</v>
      </c>
      <c r="E83" s="118" t="s">
        <v>229</v>
      </c>
      <c r="F83" s="118" t="s">
        <v>230</v>
      </c>
      <c r="I83" s="119"/>
      <c r="J83" s="120">
        <f>BK83</f>
        <v>0</v>
      </c>
      <c r="L83" s="116"/>
      <c r="M83" s="121"/>
      <c r="P83" s="122">
        <f>P84</f>
        <v>0</v>
      </c>
      <c r="R83" s="122">
        <f>R84</f>
        <v>0</v>
      </c>
      <c r="T83" s="123">
        <f>T84</f>
        <v>0</v>
      </c>
      <c r="AR83" s="117" t="s">
        <v>87</v>
      </c>
      <c r="AT83" s="124" t="s">
        <v>76</v>
      </c>
      <c r="AU83" s="124" t="s">
        <v>77</v>
      </c>
      <c r="AY83" s="117" t="s">
        <v>177</v>
      </c>
      <c r="BK83" s="125">
        <f>BK84</f>
        <v>0</v>
      </c>
    </row>
    <row r="84" spans="2:63" s="11" customFormat="1" ht="22.9" customHeight="1">
      <c r="B84" s="116"/>
      <c r="D84" s="117" t="s">
        <v>76</v>
      </c>
      <c r="E84" s="126" t="s">
        <v>300</v>
      </c>
      <c r="F84" s="126" t="s">
        <v>301</v>
      </c>
      <c r="I84" s="119"/>
      <c r="J84" s="127">
        <f>BK84</f>
        <v>0</v>
      </c>
      <c r="L84" s="116"/>
      <c r="M84" s="121"/>
      <c r="P84" s="122">
        <f>SUM(P85:P90)</f>
        <v>0</v>
      </c>
      <c r="R84" s="122">
        <f>SUM(R85:R90)</f>
        <v>0</v>
      </c>
      <c r="T84" s="123">
        <f>SUM(T85:T90)</f>
        <v>0</v>
      </c>
      <c r="AR84" s="117" t="s">
        <v>87</v>
      </c>
      <c r="AT84" s="124" t="s">
        <v>76</v>
      </c>
      <c r="AU84" s="124" t="s">
        <v>85</v>
      </c>
      <c r="AY84" s="117" t="s">
        <v>177</v>
      </c>
      <c r="BK84" s="125">
        <f>SUM(BK85:BK90)</f>
        <v>0</v>
      </c>
    </row>
    <row r="85" spans="2:65" s="1" customFormat="1" ht="16.5" customHeight="1">
      <c r="B85" s="128"/>
      <c r="C85" s="129" t="s">
        <v>85</v>
      </c>
      <c r="D85" s="129" t="s">
        <v>180</v>
      </c>
      <c r="E85" s="130" t="s">
        <v>140</v>
      </c>
      <c r="F85" s="131" t="s">
        <v>4308</v>
      </c>
      <c r="G85" s="132" t="s">
        <v>243</v>
      </c>
      <c r="H85" s="133">
        <v>1</v>
      </c>
      <c r="I85" s="134"/>
      <c r="J85" s="135">
        <f>ROUND(I85*H85,2)</f>
        <v>0</v>
      </c>
      <c r="K85" s="131" t="s">
        <v>3</v>
      </c>
      <c r="L85" s="33"/>
      <c r="M85" s="136" t="s">
        <v>3</v>
      </c>
      <c r="N85" s="137" t="s">
        <v>48</v>
      </c>
      <c r="P85" s="138">
        <f>O85*H85</f>
        <v>0</v>
      </c>
      <c r="Q85" s="138">
        <v>0</v>
      </c>
      <c r="R85" s="138">
        <f>Q85*H85</f>
        <v>0</v>
      </c>
      <c r="S85" s="138">
        <v>0</v>
      </c>
      <c r="T85" s="139">
        <f>S85*H85</f>
        <v>0</v>
      </c>
      <c r="AR85" s="140" t="s">
        <v>237</v>
      </c>
      <c r="AT85" s="140" t="s">
        <v>180</v>
      </c>
      <c r="AU85" s="140" t="s">
        <v>87</v>
      </c>
      <c r="AY85" s="18" t="s">
        <v>177</v>
      </c>
      <c r="BE85" s="141">
        <f>IF(N85="základní",J85,0)</f>
        <v>0</v>
      </c>
      <c r="BF85" s="141">
        <f>IF(N85="snížená",J85,0)</f>
        <v>0</v>
      </c>
      <c r="BG85" s="141">
        <f>IF(N85="zákl. přenesená",J85,0)</f>
        <v>0</v>
      </c>
      <c r="BH85" s="141">
        <f>IF(N85="sníž. přenesená",J85,0)</f>
        <v>0</v>
      </c>
      <c r="BI85" s="141">
        <f>IF(N85="nulová",J85,0)</f>
        <v>0</v>
      </c>
      <c r="BJ85" s="18" t="s">
        <v>85</v>
      </c>
      <c r="BK85" s="141">
        <f>ROUND(I85*H85,2)</f>
        <v>0</v>
      </c>
      <c r="BL85" s="18" t="s">
        <v>237</v>
      </c>
      <c r="BM85" s="140" t="s">
        <v>4309</v>
      </c>
    </row>
    <row r="86" spans="2:47" s="1" customFormat="1" ht="11.25">
      <c r="B86" s="33"/>
      <c r="D86" s="142" t="s">
        <v>187</v>
      </c>
      <c r="F86" s="143" t="s">
        <v>4308</v>
      </c>
      <c r="I86" s="144"/>
      <c r="L86" s="33"/>
      <c r="M86" s="145"/>
      <c r="T86" s="54"/>
      <c r="AT86" s="18" t="s">
        <v>187</v>
      </c>
      <c r="AU86" s="18" t="s">
        <v>87</v>
      </c>
    </row>
    <row r="87" spans="2:65" s="1" customFormat="1" ht="16.5" customHeight="1">
      <c r="B87" s="128"/>
      <c r="C87" s="129" t="s">
        <v>87</v>
      </c>
      <c r="D87" s="129" t="s">
        <v>180</v>
      </c>
      <c r="E87" s="130" t="s">
        <v>3840</v>
      </c>
      <c r="F87" s="131" t="s">
        <v>3841</v>
      </c>
      <c r="G87" s="132" t="s">
        <v>243</v>
      </c>
      <c r="H87" s="133">
        <v>1</v>
      </c>
      <c r="I87" s="134"/>
      <c r="J87" s="135">
        <f>ROUND(I87*H87,2)</f>
        <v>0</v>
      </c>
      <c r="K87" s="131" t="s">
        <v>3</v>
      </c>
      <c r="L87" s="33"/>
      <c r="M87" s="136" t="s">
        <v>3</v>
      </c>
      <c r="N87" s="137" t="s">
        <v>48</v>
      </c>
      <c r="P87" s="138">
        <f>O87*H87</f>
        <v>0</v>
      </c>
      <c r="Q87" s="138">
        <v>0</v>
      </c>
      <c r="R87" s="138">
        <f>Q87*H87</f>
        <v>0</v>
      </c>
      <c r="S87" s="138">
        <v>0</v>
      </c>
      <c r="T87" s="139">
        <f>S87*H87</f>
        <v>0</v>
      </c>
      <c r="AR87" s="140" t="s">
        <v>237</v>
      </c>
      <c r="AT87" s="140" t="s">
        <v>180</v>
      </c>
      <c r="AU87" s="140" t="s">
        <v>87</v>
      </c>
      <c r="AY87" s="18" t="s">
        <v>177</v>
      </c>
      <c r="BE87" s="141">
        <f>IF(N87="základní",J87,0)</f>
        <v>0</v>
      </c>
      <c r="BF87" s="141">
        <f>IF(N87="snížená",J87,0)</f>
        <v>0</v>
      </c>
      <c r="BG87" s="141">
        <f>IF(N87="zákl. přenesená",J87,0)</f>
        <v>0</v>
      </c>
      <c r="BH87" s="141">
        <f>IF(N87="sníž. přenesená",J87,0)</f>
        <v>0</v>
      </c>
      <c r="BI87" s="141">
        <f>IF(N87="nulová",J87,0)</f>
        <v>0</v>
      </c>
      <c r="BJ87" s="18" t="s">
        <v>85</v>
      </c>
      <c r="BK87" s="141">
        <f>ROUND(I87*H87,2)</f>
        <v>0</v>
      </c>
      <c r="BL87" s="18" t="s">
        <v>237</v>
      </c>
      <c r="BM87" s="140" t="s">
        <v>4310</v>
      </c>
    </row>
    <row r="88" spans="2:47" s="1" customFormat="1" ht="11.25">
      <c r="B88" s="33"/>
      <c r="D88" s="142" t="s">
        <v>187</v>
      </c>
      <c r="F88" s="143" t="s">
        <v>3841</v>
      </c>
      <c r="I88" s="144"/>
      <c r="L88" s="33"/>
      <c r="M88" s="145"/>
      <c r="T88" s="54"/>
      <c r="AT88" s="18" t="s">
        <v>187</v>
      </c>
      <c r="AU88" s="18" t="s">
        <v>87</v>
      </c>
    </row>
    <row r="89" spans="2:65" s="1" customFormat="1" ht="16.5" customHeight="1">
      <c r="B89" s="128"/>
      <c r="C89" s="129" t="s">
        <v>198</v>
      </c>
      <c r="D89" s="129" t="s">
        <v>180</v>
      </c>
      <c r="E89" s="130" t="s">
        <v>3849</v>
      </c>
      <c r="F89" s="131" t="s">
        <v>3850</v>
      </c>
      <c r="G89" s="132" t="s">
        <v>243</v>
      </c>
      <c r="H89" s="133">
        <v>1</v>
      </c>
      <c r="I89" s="134"/>
      <c r="J89" s="135">
        <f>ROUND(I89*H89,2)</f>
        <v>0</v>
      </c>
      <c r="K89" s="131" t="s">
        <v>3</v>
      </c>
      <c r="L89" s="33"/>
      <c r="M89" s="136" t="s">
        <v>3</v>
      </c>
      <c r="N89" s="137" t="s">
        <v>48</v>
      </c>
      <c r="P89" s="138">
        <f>O89*H89</f>
        <v>0</v>
      </c>
      <c r="Q89" s="138">
        <v>0</v>
      </c>
      <c r="R89" s="138">
        <f>Q89*H89</f>
        <v>0</v>
      </c>
      <c r="S89" s="138">
        <v>0</v>
      </c>
      <c r="T89" s="139">
        <f>S89*H89</f>
        <v>0</v>
      </c>
      <c r="AR89" s="140" t="s">
        <v>237</v>
      </c>
      <c r="AT89" s="140" t="s">
        <v>180</v>
      </c>
      <c r="AU89" s="140" t="s">
        <v>87</v>
      </c>
      <c r="AY89" s="18" t="s">
        <v>177</v>
      </c>
      <c r="BE89" s="141">
        <f>IF(N89="základní",J89,0)</f>
        <v>0</v>
      </c>
      <c r="BF89" s="141">
        <f>IF(N89="snížená",J89,0)</f>
        <v>0</v>
      </c>
      <c r="BG89" s="141">
        <f>IF(N89="zákl. přenesená",J89,0)</f>
        <v>0</v>
      </c>
      <c r="BH89" s="141">
        <f>IF(N89="sníž. přenesená",J89,0)</f>
        <v>0</v>
      </c>
      <c r="BI89" s="141">
        <f>IF(N89="nulová",J89,0)</f>
        <v>0</v>
      </c>
      <c r="BJ89" s="18" t="s">
        <v>85</v>
      </c>
      <c r="BK89" s="141">
        <f>ROUND(I89*H89,2)</f>
        <v>0</v>
      </c>
      <c r="BL89" s="18" t="s">
        <v>237</v>
      </c>
      <c r="BM89" s="140" t="s">
        <v>4311</v>
      </c>
    </row>
    <row r="90" spans="2:47" s="1" customFormat="1" ht="11.25">
      <c r="B90" s="33"/>
      <c r="D90" s="142" t="s">
        <v>187</v>
      </c>
      <c r="F90" s="143" t="s">
        <v>3850</v>
      </c>
      <c r="I90" s="144"/>
      <c r="L90" s="33"/>
      <c r="M90" s="145"/>
      <c r="T90" s="54"/>
      <c r="AT90" s="18" t="s">
        <v>187</v>
      </c>
      <c r="AU90" s="18" t="s">
        <v>87</v>
      </c>
    </row>
    <row r="91" spans="2:63" s="11" customFormat="1" ht="25.9" customHeight="1">
      <c r="B91" s="116"/>
      <c r="D91" s="117" t="s">
        <v>76</v>
      </c>
      <c r="E91" s="118" t="s">
        <v>313</v>
      </c>
      <c r="F91" s="118" t="s">
        <v>314</v>
      </c>
      <c r="I91" s="119"/>
      <c r="J91" s="120">
        <f>BK91</f>
        <v>0</v>
      </c>
      <c r="L91" s="116"/>
      <c r="M91" s="121"/>
      <c r="P91" s="122">
        <f>SUM(P92:P96)</f>
        <v>0</v>
      </c>
      <c r="R91" s="122">
        <f>SUM(R92:R96)</f>
        <v>0</v>
      </c>
      <c r="T91" s="123">
        <f>SUM(T92:T96)</f>
        <v>0</v>
      </c>
      <c r="AR91" s="117" t="s">
        <v>185</v>
      </c>
      <c r="AT91" s="124" t="s">
        <v>76</v>
      </c>
      <c r="AU91" s="124" t="s">
        <v>77</v>
      </c>
      <c r="AY91" s="117" t="s">
        <v>177</v>
      </c>
      <c r="BK91" s="125">
        <f>SUM(BK92:BK96)</f>
        <v>0</v>
      </c>
    </row>
    <row r="92" spans="2:65" s="1" customFormat="1" ht="16.5" customHeight="1">
      <c r="B92" s="128"/>
      <c r="C92" s="129" t="s">
        <v>185</v>
      </c>
      <c r="D92" s="129" t="s">
        <v>180</v>
      </c>
      <c r="E92" s="130" t="s">
        <v>528</v>
      </c>
      <c r="F92" s="131" t="s">
        <v>529</v>
      </c>
      <c r="G92" s="132" t="s">
        <v>305</v>
      </c>
      <c r="H92" s="133">
        <v>100</v>
      </c>
      <c r="I92" s="134"/>
      <c r="J92" s="135">
        <f>ROUND(I92*H92,2)</f>
        <v>0</v>
      </c>
      <c r="K92" s="131" t="s">
        <v>184</v>
      </c>
      <c r="L92" s="33"/>
      <c r="M92" s="136" t="s">
        <v>3</v>
      </c>
      <c r="N92" s="137" t="s">
        <v>48</v>
      </c>
      <c r="P92" s="138">
        <f>O92*H92</f>
        <v>0</v>
      </c>
      <c r="Q92" s="138">
        <v>0</v>
      </c>
      <c r="R92" s="138">
        <f>Q92*H92</f>
        <v>0</v>
      </c>
      <c r="S92" s="138">
        <v>0</v>
      </c>
      <c r="T92" s="139">
        <f>S92*H92</f>
        <v>0</v>
      </c>
      <c r="AR92" s="140" t="s">
        <v>318</v>
      </c>
      <c r="AT92" s="140" t="s">
        <v>180</v>
      </c>
      <c r="AU92" s="140" t="s">
        <v>85</v>
      </c>
      <c r="AY92" s="18" t="s">
        <v>177</v>
      </c>
      <c r="BE92" s="141">
        <f>IF(N92="základní",J92,0)</f>
        <v>0</v>
      </c>
      <c r="BF92" s="141">
        <f>IF(N92="snížená",J92,0)</f>
        <v>0</v>
      </c>
      <c r="BG92" s="141">
        <f>IF(N92="zákl. přenesená",J92,0)</f>
        <v>0</v>
      </c>
      <c r="BH92" s="141">
        <f>IF(N92="sníž. přenesená",J92,0)</f>
        <v>0</v>
      </c>
      <c r="BI92" s="141">
        <f>IF(N92="nulová",J92,0)</f>
        <v>0</v>
      </c>
      <c r="BJ92" s="18" t="s">
        <v>85</v>
      </c>
      <c r="BK92" s="141">
        <f>ROUND(I92*H92,2)</f>
        <v>0</v>
      </c>
      <c r="BL92" s="18" t="s">
        <v>318</v>
      </c>
      <c r="BM92" s="140" t="s">
        <v>4312</v>
      </c>
    </row>
    <row r="93" spans="2:47" s="1" customFormat="1" ht="19.5">
      <c r="B93" s="33"/>
      <c r="D93" s="142" t="s">
        <v>187</v>
      </c>
      <c r="F93" s="143" t="s">
        <v>531</v>
      </c>
      <c r="I93" s="144"/>
      <c r="L93" s="33"/>
      <c r="M93" s="145"/>
      <c r="T93" s="54"/>
      <c r="AT93" s="18" t="s">
        <v>187</v>
      </c>
      <c r="AU93" s="18" t="s">
        <v>85</v>
      </c>
    </row>
    <row r="94" spans="2:47" s="1" customFormat="1" ht="11.25">
      <c r="B94" s="33"/>
      <c r="D94" s="146" t="s">
        <v>189</v>
      </c>
      <c r="F94" s="147" t="s">
        <v>532</v>
      </c>
      <c r="I94" s="144"/>
      <c r="L94" s="33"/>
      <c r="M94" s="145"/>
      <c r="T94" s="54"/>
      <c r="AT94" s="18" t="s">
        <v>189</v>
      </c>
      <c r="AU94" s="18" t="s">
        <v>85</v>
      </c>
    </row>
    <row r="95" spans="2:51" s="13" customFormat="1" ht="11.25">
      <c r="B95" s="156"/>
      <c r="D95" s="142" t="s">
        <v>193</v>
      </c>
      <c r="E95" s="157" t="s">
        <v>3</v>
      </c>
      <c r="F95" s="158" t="s">
        <v>3853</v>
      </c>
      <c r="H95" s="157" t="s">
        <v>3</v>
      </c>
      <c r="I95" s="159"/>
      <c r="L95" s="156"/>
      <c r="M95" s="160"/>
      <c r="T95" s="161"/>
      <c r="AT95" s="157" t="s">
        <v>193</v>
      </c>
      <c r="AU95" s="157" t="s">
        <v>85</v>
      </c>
      <c r="AV95" s="13" t="s">
        <v>85</v>
      </c>
      <c r="AW95" s="13" t="s">
        <v>36</v>
      </c>
      <c r="AX95" s="13" t="s">
        <v>77</v>
      </c>
      <c r="AY95" s="157" t="s">
        <v>177</v>
      </c>
    </row>
    <row r="96" spans="2:51" s="12" customFormat="1" ht="11.25">
      <c r="B96" s="149"/>
      <c r="D96" s="142" t="s">
        <v>193</v>
      </c>
      <c r="E96" s="150" t="s">
        <v>3</v>
      </c>
      <c r="F96" s="151" t="s">
        <v>2777</v>
      </c>
      <c r="H96" s="152">
        <v>100</v>
      </c>
      <c r="I96" s="153"/>
      <c r="L96" s="149"/>
      <c r="M96" s="176"/>
      <c r="N96" s="177"/>
      <c r="O96" s="177"/>
      <c r="P96" s="177"/>
      <c r="Q96" s="177"/>
      <c r="R96" s="177"/>
      <c r="S96" s="177"/>
      <c r="T96" s="178"/>
      <c r="AT96" s="150" t="s">
        <v>193</v>
      </c>
      <c r="AU96" s="150" t="s">
        <v>85</v>
      </c>
      <c r="AV96" s="12" t="s">
        <v>87</v>
      </c>
      <c r="AW96" s="12" t="s">
        <v>36</v>
      </c>
      <c r="AX96" s="12" t="s">
        <v>85</v>
      </c>
      <c r="AY96" s="150" t="s">
        <v>177</v>
      </c>
    </row>
    <row r="97" spans="2:12" s="1" customFormat="1" ht="6.95" customHeight="1">
      <c r="B97" s="42"/>
      <c r="C97" s="43"/>
      <c r="D97" s="43"/>
      <c r="E97" s="43"/>
      <c r="F97" s="43"/>
      <c r="G97" s="43"/>
      <c r="H97" s="43"/>
      <c r="I97" s="43"/>
      <c r="J97" s="43"/>
      <c r="K97" s="43"/>
      <c r="L97" s="33"/>
    </row>
  </sheetData>
  <autoFilter ref="C81:K96"/>
  <mergeCells count="9">
    <mergeCell ref="E50:H50"/>
    <mergeCell ref="E72:H72"/>
    <mergeCell ref="E74:H74"/>
    <mergeCell ref="L2:V2"/>
    <mergeCell ref="E7:H7"/>
    <mergeCell ref="E9:H9"/>
    <mergeCell ref="E18:H18"/>
    <mergeCell ref="E27:H27"/>
    <mergeCell ref="E48:H48"/>
  </mergeCells>
  <hyperlinks>
    <hyperlink ref="F94" r:id="rId1"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354B-2CAB-4C9F-A3BF-F2AEFEFBE23D}">
  <sheetPr>
    <pageSetUpPr fitToPage="1"/>
  </sheetPr>
  <dimension ref="A1:BL92"/>
  <sheetViews>
    <sheetView workbookViewId="0" topLeftCell="A1">
      <pane ySplit="11" topLeftCell="A60" activePane="bottomLeft" state="frozen"/>
      <selection pane="topLeft" activeCell="T30" sqref="T30:U30"/>
      <selection pane="bottomLeft" activeCell="T30" sqref="T30:U30"/>
    </sheetView>
  </sheetViews>
  <sheetFormatPr defaultColWidth="13.57421875" defaultRowHeight="12"/>
  <cols>
    <col min="1" max="1" width="4.28125" style="375" customWidth="1"/>
    <col min="2" max="2" width="8.8515625" style="375" customWidth="1"/>
    <col min="3" max="3" width="16.7109375" style="375" customWidth="1"/>
    <col min="4" max="4" width="1.7109375" style="375" customWidth="1"/>
    <col min="5" max="5" width="97.8515625" style="375" customWidth="1"/>
    <col min="6" max="6" width="5.00390625" style="375" customWidth="1"/>
    <col min="7" max="7" width="15.00390625" style="375" customWidth="1"/>
    <col min="8" max="8" width="14.00390625" style="375" customWidth="1"/>
    <col min="9" max="11" width="16.7109375" style="375" customWidth="1"/>
    <col min="12" max="14" width="13.7109375" style="375" customWidth="1"/>
    <col min="15" max="24" width="13.421875" style="375" customWidth="1"/>
    <col min="25" max="64" width="14.140625" style="375" hidden="1" customWidth="1"/>
    <col min="65" max="256" width="13.421875" style="375" customWidth="1"/>
    <col min="257" max="257" width="4.28125" style="375" customWidth="1"/>
    <col min="258" max="258" width="8.8515625" style="375" customWidth="1"/>
    <col min="259" max="259" width="16.7109375" style="375" customWidth="1"/>
    <col min="260" max="260" width="1.7109375" style="375" customWidth="1"/>
    <col min="261" max="261" width="97.8515625" style="375" customWidth="1"/>
    <col min="262" max="262" width="5.00390625" style="375" customWidth="1"/>
    <col min="263" max="263" width="15.00390625" style="375" customWidth="1"/>
    <col min="264" max="264" width="14.00390625" style="375" customWidth="1"/>
    <col min="265" max="267" width="16.7109375" style="375" customWidth="1"/>
    <col min="268" max="270" width="13.7109375" style="375" customWidth="1"/>
    <col min="271" max="280" width="13.421875" style="375" customWidth="1"/>
    <col min="281" max="320" width="13.57421875" style="375" hidden="1" customWidth="1"/>
    <col min="321" max="512" width="13.421875" style="375" customWidth="1"/>
    <col min="513" max="513" width="4.28125" style="375" customWidth="1"/>
    <col min="514" max="514" width="8.8515625" style="375" customWidth="1"/>
    <col min="515" max="515" width="16.7109375" style="375" customWidth="1"/>
    <col min="516" max="516" width="1.7109375" style="375" customWidth="1"/>
    <col min="517" max="517" width="97.8515625" style="375" customWidth="1"/>
    <col min="518" max="518" width="5.00390625" style="375" customWidth="1"/>
    <col min="519" max="519" width="15.00390625" style="375" customWidth="1"/>
    <col min="520" max="520" width="14.00390625" style="375" customWidth="1"/>
    <col min="521" max="523" width="16.7109375" style="375" customWidth="1"/>
    <col min="524" max="526" width="13.7109375" style="375" customWidth="1"/>
    <col min="527" max="536" width="13.421875" style="375" customWidth="1"/>
    <col min="537" max="576" width="13.57421875" style="375" hidden="1" customWidth="1"/>
    <col min="577" max="768" width="13.421875" style="375" customWidth="1"/>
    <col min="769" max="769" width="4.28125" style="375" customWidth="1"/>
    <col min="770" max="770" width="8.8515625" style="375" customWidth="1"/>
    <col min="771" max="771" width="16.7109375" style="375" customWidth="1"/>
    <col min="772" max="772" width="1.7109375" style="375" customWidth="1"/>
    <col min="773" max="773" width="97.8515625" style="375" customWidth="1"/>
    <col min="774" max="774" width="5.00390625" style="375" customWidth="1"/>
    <col min="775" max="775" width="15.00390625" style="375" customWidth="1"/>
    <col min="776" max="776" width="14.00390625" style="375" customWidth="1"/>
    <col min="777" max="779" width="16.7109375" style="375" customWidth="1"/>
    <col min="780" max="782" width="13.7109375" style="375" customWidth="1"/>
    <col min="783" max="792" width="13.421875" style="375" customWidth="1"/>
    <col min="793" max="832" width="13.57421875" style="375" hidden="1" customWidth="1"/>
    <col min="833" max="1024" width="13.421875" style="375" customWidth="1"/>
    <col min="1025" max="1025" width="4.28125" style="375" customWidth="1"/>
    <col min="1026" max="1026" width="8.8515625" style="375" customWidth="1"/>
    <col min="1027" max="1027" width="16.7109375" style="375" customWidth="1"/>
    <col min="1028" max="1028" width="1.7109375" style="375" customWidth="1"/>
    <col min="1029" max="1029" width="97.8515625" style="375" customWidth="1"/>
    <col min="1030" max="1030" width="5.00390625" style="375" customWidth="1"/>
    <col min="1031" max="1031" width="15.00390625" style="375" customWidth="1"/>
    <col min="1032" max="1032" width="14.00390625" style="375" customWidth="1"/>
    <col min="1033" max="1035" width="16.7109375" style="375" customWidth="1"/>
    <col min="1036" max="1038" width="13.7109375" style="375" customWidth="1"/>
    <col min="1039" max="1048" width="13.421875" style="375" customWidth="1"/>
    <col min="1049" max="1088" width="13.57421875" style="375" hidden="1" customWidth="1"/>
    <col min="1089" max="1280" width="13.421875" style="375" customWidth="1"/>
    <col min="1281" max="1281" width="4.28125" style="375" customWidth="1"/>
    <col min="1282" max="1282" width="8.8515625" style="375" customWidth="1"/>
    <col min="1283" max="1283" width="16.7109375" style="375" customWidth="1"/>
    <col min="1284" max="1284" width="1.7109375" style="375" customWidth="1"/>
    <col min="1285" max="1285" width="97.8515625" style="375" customWidth="1"/>
    <col min="1286" max="1286" width="5.00390625" style="375" customWidth="1"/>
    <col min="1287" max="1287" width="15.00390625" style="375" customWidth="1"/>
    <col min="1288" max="1288" width="14.00390625" style="375" customWidth="1"/>
    <col min="1289" max="1291" width="16.7109375" style="375" customWidth="1"/>
    <col min="1292" max="1294" width="13.7109375" style="375" customWidth="1"/>
    <col min="1295" max="1304" width="13.421875" style="375" customWidth="1"/>
    <col min="1305" max="1344" width="13.57421875" style="375" hidden="1" customWidth="1"/>
    <col min="1345" max="1536" width="13.421875" style="375" customWidth="1"/>
    <col min="1537" max="1537" width="4.28125" style="375" customWidth="1"/>
    <col min="1538" max="1538" width="8.8515625" style="375" customWidth="1"/>
    <col min="1539" max="1539" width="16.7109375" style="375" customWidth="1"/>
    <col min="1540" max="1540" width="1.7109375" style="375" customWidth="1"/>
    <col min="1541" max="1541" width="97.8515625" style="375" customWidth="1"/>
    <col min="1542" max="1542" width="5.00390625" style="375" customWidth="1"/>
    <col min="1543" max="1543" width="15.00390625" style="375" customWidth="1"/>
    <col min="1544" max="1544" width="14.00390625" style="375" customWidth="1"/>
    <col min="1545" max="1547" width="16.7109375" style="375" customWidth="1"/>
    <col min="1548" max="1550" width="13.7109375" style="375" customWidth="1"/>
    <col min="1551" max="1560" width="13.421875" style="375" customWidth="1"/>
    <col min="1561" max="1600" width="13.57421875" style="375" hidden="1" customWidth="1"/>
    <col min="1601" max="1792" width="13.421875" style="375" customWidth="1"/>
    <col min="1793" max="1793" width="4.28125" style="375" customWidth="1"/>
    <col min="1794" max="1794" width="8.8515625" style="375" customWidth="1"/>
    <col min="1795" max="1795" width="16.7109375" style="375" customWidth="1"/>
    <col min="1796" max="1796" width="1.7109375" style="375" customWidth="1"/>
    <col min="1797" max="1797" width="97.8515625" style="375" customWidth="1"/>
    <col min="1798" max="1798" width="5.00390625" style="375" customWidth="1"/>
    <col min="1799" max="1799" width="15.00390625" style="375" customWidth="1"/>
    <col min="1800" max="1800" width="14.00390625" style="375" customWidth="1"/>
    <col min="1801" max="1803" width="16.7109375" style="375" customWidth="1"/>
    <col min="1804" max="1806" width="13.7109375" style="375" customWidth="1"/>
    <col min="1807" max="1816" width="13.421875" style="375" customWidth="1"/>
    <col min="1817" max="1856" width="13.57421875" style="375" hidden="1" customWidth="1"/>
    <col min="1857" max="2048" width="13.421875" style="375" customWidth="1"/>
    <col min="2049" max="2049" width="4.28125" style="375" customWidth="1"/>
    <col min="2050" max="2050" width="8.8515625" style="375" customWidth="1"/>
    <col min="2051" max="2051" width="16.7109375" style="375" customWidth="1"/>
    <col min="2052" max="2052" width="1.7109375" style="375" customWidth="1"/>
    <col min="2053" max="2053" width="97.8515625" style="375" customWidth="1"/>
    <col min="2054" max="2054" width="5.00390625" style="375" customWidth="1"/>
    <col min="2055" max="2055" width="15.00390625" style="375" customWidth="1"/>
    <col min="2056" max="2056" width="14.00390625" style="375" customWidth="1"/>
    <col min="2057" max="2059" width="16.7109375" style="375" customWidth="1"/>
    <col min="2060" max="2062" width="13.7109375" style="375" customWidth="1"/>
    <col min="2063" max="2072" width="13.421875" style="375" customWidth="1"/>
    <col min="2073" max="2112" width="13.57421875" style="375" hidden="1" customWidth="1"/>
    <col min="2113" max="2304" width="13.421875" style="375" customWidth="1"/>
    <col min="2305" max="2305" width="4.28125" style="375" customWidth="1"/>
    <col min="2306" max="2306" width="8.8515625" style="375" customWidth="1"/>
    <col min="2307" max="2307" width="16.7109375" style="375" customWidth="1"/>
    <col min="2308" max="2308" width="1.7109375" style="375" customWidth="1"/>
    <col min="2309" max="2309" width="97.8515625" style="375" customWidth="1"/>
    <col min="2310" max="2310" width="5.00390625" style="375" customWidth="1"/>
    <col min="2311" max="2311" width="15.00390625" style="375" customWidth="1"/>
    <col min="2312" max="2312" width="14.00390625" style="375" customWidth="1"/>
    <col min="2313" max="2315" width="16.7109375" style="375" customWidth="1"/>
    <col min="2316" max="2318" width="13.7109375" style="375" customWidth="1"/>
    <col min="2319" max="2328" width="13.421875" style="375" customWidth="1"/>
    <col min="2329" max="2368" width="13.57421875" style="375" hidden="1" customWidth="1"/>
    <col min="2369" max="2560" width="13.421875" style="375" customWidth="1"/>
    <col min="2561" max="2561" width="4.28125" style="375" customWidth="1"/>
    <col min="2562" max="2562" width="8.8515625" style="375" customWidth="1"/>
    <col min="2563" max="2563" width="16.7109375" style="375" customWidth="1"/>
    <col min="2564" max="2564" width="1.7109375" style="375" customWidth="1"/>
    <col min="2565" max="2565" width="97.8515625" style="375" customWidth="1"/>
    <col min="2566" max="2566" width="5.00390625" style="375" customWidth="1"/>
    <col min="2567" max="2567" width="15.00390625" style="375" customWidth="1"/>
    <col min="2568" max="2568" width="14.00390625" style="375" customWidth="1"/>
    <col min="2569" max="2571" width="16.7109375" style="375" customWidth="1"/>
    <col min="2572" max="2574" width="13.7109375" style="375" customWidth="1"/>
    <col min="2575" max="2584" width="13.421875" style="375" customWidth="1"/>
    <col min="2585" max="2624" width="13.57421875" style="375" hidden="1" customWidth="1"/>
    <col min="2625" max="2816" width="13.421875" style="375" customWidth="1"/>
    <col min="2817" max="2817" width="4.28125" style="375" customWidth="1"/>
    <col min="2818" max="2818" width="8.8515625" style="375" customWidth="1"/>
    <col min="2819" max="2819" width="16.7109375" style="375" customWidth="1"/>
    <col min="2820" max="2820" width="1.7109375" style="375" customWidth="1"/>
    <col min="2821" max="2821" width="97.8515625" style="375" customWidth="1"/>
    <col min="2822" max="2822" width="5.00390625" style="375" customWidth="1"/>
    <col min="2823" max="2823" width="15.00390625" style="375" customWidth="1"/>
    <col min="2824" max="2824" width="14.00390625" style="375" customWidth="1"/>
    <col min="2825" max="2827" width="16.7109375" style="375" customWidth="1"/>
    <col min="2828" max="2830" width="13.7109375" style="375" customWidth="1"/>
    <col min="2831" max="2840" width="13.421875" style="375" customWidth="1"/>
    <col min="2841" max="2880" width="13.57421875" style="375" hidden="1" customWidth="1"/>
    <col min="2881" max="3072" width="13.421875" style="375" customWidth="1"/>
    <col min="3073" max="3073" width="4.28125" style="375" customWidth="1"/>
    <col min="3074" max="3074" width="8.8515625" style="375" customWidth="1"/>
    <col min="3075" max="3075" width="16.7109375" style="375" customWidth="1"/>
    <col min="3076" max="3076" width="1.7109375" style="375" customWidth="1"/>
    <col min="3077" max="3077" width="97.8515625" style="375" customWidth="1"/>
    <col min="3078" max="3078" width="5.00390625" style="375" customWidth="1"/>
    <col min="3079" max="3079" width="15.00390625" style="375" customWidth="1"/>
    <col min="3080" max="3080" width="14.00390625" style="375" customWidth="1"/>
    <col min="3081" max="3083" width="16.7109375" style="375" customWidth="1"/>
    <col min="3084" max="3086" width="13.7109375" style="375" customWidth="1"/>
    <col min="3087" max="3096" width="13.421875" style="375" customWidth="1"/>
    <col min="3097" max="3136" width="13.57421875" style="375" hidden="1" customWidth="1"/>
    <col min="3137" max="3328" width="13.421875" style="375" customWidth="1"/>
    <col min="3329" max="3329" width="4.28125" style="375" customWidth="1"/>
    <col min="3330" max="3330" width="8.8515625" style="375" customWidth="1"/>
    <col min="3331" max="3331" width="16.7109375" style="375" customWidth="1"/>
    <col min="3332" max="3332" width="1.7109375" style="375" customWidth="1"/>
    <col min="3333" max="3333" width="97.8515625" style="375" customWidth="1"/>
    <col min="3334" max="3334" width="5.00390625" style="375" customWidth="1"/>
    <col min="3335" max="3335" width="15.00390625" style="375" customWidth="1"/>
    <col min="3336" max="3336" width="14.00390625" style="375" customWidth="1"/>
    <col min="3337" max="3339" width="16.7109375" style="375" customWidth="1"/>
    <col min="3340" max="3342" width="13.7109375" style="375" customWidth="1"/>
    <col min="3343" max="3352" width="13.421875" style="375" customWidth="1"/>
    <col min="3353" max="3392" width="13.57421875" style="375" hidden="1" customWidth="1"/>
    <col min="3393" max="3584" width="13.421875" style="375" customWidth="1"/>
    <col min="3585" max="3585" width="4.28125" style="375" customWidth="1"/>
    <col min="3586" max="3586" width="8.8515625" style="375" customWidth="1"/>
    <col min="3587" max="3587" width="16.7109375" style="375" customWidth="1"/>
    <col min="3588" max="3588" width="1.7109375" style="375" customWidth="1"/>
    <col min="3589" max="3589" width="97.8515625" style="375" customWidth="1"/>
    <col min="3590" max="3590" width="5.00390625" style="375" customWidth="1"/>
    <col min="3591" max="3591" width="15.00390625" style="375" customWidth="1"/>
    <col min="3592" max="3592" width="14.00390625" style="375" customWidth="1"/>
    <col min="3593" max="3595" width="16.7109375" style="375" customWidth="1"/>
    <col min="3596" max="3598" width="13.7109375" style="375" customWidth="1"/>
    <col min="3599" max="3608" width="13.421875" style="375" customWidth="1"/>
    <col min="3609" max="3648" width="13.57421875" style="375" hidden="1" customWidth="1"/>
    <col min="3649" max="3840" width="13.421875" style="375" customWidth="1"/>
    <col min="3841" max="3841" width="4.28125" style="375" customWidth="1"/>
    <col min="3842" max="3842" width="8.8515625" style="375" customWidth="1"/>
    <col min="3843" max="3843" width="16.7109375" style="375" customWidth="1"/>
    <col min="3844" max="3844" width="1.7109375" style="375" customWidth="1"/>
    <col min="3845" max="3845" width="97.8515625" style="375" customWidth="1"/>
    <col min="3846" max="3846" width="5.00390625" style="375" customWidth="1"/>
    <col min="3847" max="3847" width="15.00390625" style="375" customWidth="1"/>
    <col min="3848" max="3848" width="14.00390625" style="375" customWidth="1"/>
    <col min="3849" max="3851" width="16.7109375" style="375" customWidth="1"/>
    <col min="3852" max="3854" width="13.7109375" style="375" customWidth="1"/>
    <col min="3855" max="3864" width="13.421875" style="375" customWidth="1"/>
    <col min="3865" max="3904" width="13.57421875" style="375" hidden="1" customWidth="1"/>
    <col min="3905" max="4096" width="13.421875" style="375" customWidth="1"/>
    <col min="4097" max="4097" width="4.28125" style="375" customWidth="1"/>
    <col min="4098" max="4098" width="8.8515625" style="375" customWidth="1"/>
    <col min="4099" max="4099" width="16.7109375" style="375" customWidth="1"/>
    <col min="4100" max="4100" width="1.7109375" style="375" customWidth="1"/>
    <col min="4101" max="4101" width="97.8515625" style="375" customWidth="1"/>
    <col min="4102" max="4102" width="5.00390625" style="375" customWidth="1"/>
    <col min="4103" max="4103" width="15.00390625" style="375" customWidth="1"/>
    <col min="4104" max="4104" width="14.00390625" style="375" customWidth="1"/>
    <col min="4105" max="4107" width="16.7109375" style="375" customWidth="1"/>
    <col min="4108" max="4110" width="13.7109375" style="375" customWidth="1"/>
    <col min="4111" max="4120" width="13.421875" style="375" customWidth="1"/>
    <col min="4121" max="4160" width="13.57421875" style="375" hidden="1" customWidth="1"/>
    <col min="4161" max="4352" width="13.421875" style="375" customWidth="1"/>
    <col min="4353" max="4353" width="4.28125" style="375" customWidth="1"/>
    <col min="4354" max="4354" width="8.8515625" style="375" customWidth="1"/>
    <col min="4355" max="4355" width="16.7109375" style="375" customWidth="1"/>
    <col min="4356" max="4356" width="1.7109375" style="375" customWidth="1"/>
    <col min="4357" max="4357" width="97.8515625" style="375" customWidth="1"/>
    <col min="4358" max="4358" width="5.00390625" style="375" customWidth="1"/>
    <col min="4359" max="4359" width="15.00390625" style="375" customWidth="1"/>
    <col min="4360" max="4360" width="14.00390625" style="375" customWidth="1"/>
    <col min="4361" max="4363" width="16.7109375" style="375" customWidth="1"/>
    <col min="4364" max="4366" width="13.7109375" style="375" customWidth="1"/>
    <col min="4367" max="4376" width="13.421875" style="375" customWidth="1"/>
    <col min="4377" max="4416" width="13.57421875" style="375" hidden="1" customWidth="1"/>
    <col min="4417" max="4608" width="13.421875" style="375" customWidth="1"/>
    <col min="4609" max="4609" width="4.28125" style="375" customWidth="1"/>
    <col min="4610" max="4610" width="8.8515625" style="375" customWidth="1"/>
    <col min="4611" max="4611" width="16.7109375" style="375" customWidth="1"/>
    <col min="4612" max="4612" width="1.7109375" style="375" customWidth="1"/>
    <col min="4613" max="4613" width="97.8515625" style="375" customWidth="1"/>
    <col min="4614" max="4614" width="5.00390625" style="375" customWidth="1"/>
    <col min="4615" max="4615" width="15.00390625" style="375" customWidth="1"/>
    <col min="4616" max="4616" width="14.00390625" style="375" customWidth="1"/>
    <col min="4617" max="4619" width="16.7109375" style="375" customWidth="1"/>
    <col min="4620" max="4622" width="13.7109375" style="375" customWidth="1"/>
    <col min="4623" max="4632" width="13.421875" style="375" customWidth="1"/>
    <col min="4633" max="4672" width="13.57421875" style="375" hidden="1" customWidth="1"/>
    <col min="4673" max="4864" width="13.421875" style="375" customWidth="1"/>
    <col min="4865" max="4865" width="4.28125" style="375" customWidth="1"/>
    <col min="4866" max="4866" width="8.8515625" style="375" customWidth="1"/>
    <col min="4867" max="4867" width="16.7109375" style="375" customWidth="1"/>
    <col min="4868" max="4868" width="1.7109375" style="375" customWidth="1"/>
    <col min="4869" max="4869" width="97.8515625" style="375" customWidth="1"/>
    <col min="4870" max="4870" width="5.00390625" style="375" customWidth="1"/>
    <col min="4871" max="4871" width="15.00390625" style="375" customWidth="1"/>
    <col min="4872" max="4872" width="14.00390625" style="375" customWidth="1"/>
    <col min="4873" max="4875" width="16.7109375" style="375" customWidth="1"/>
    <col min="4876" max="4878" width="13.7109375" style="375" customWidth="1"/>
    <col min="4879" max="4888" width="13.421875" style="375" customWidth="1"/>
    <col min="4889" max="4928" width="13.57421875" style="375" hidden="1" customWidth="1"/>
    <col min="4929" max="5120" width="13.421875" style="375" customWidth="1"/>
    <col min="5121" max="5121" width="4.28125" style="375" customWidth="1"/>
    <col min="5122" max="5122" width="8.8515625" style="375" customWidth="1"/>
    <col min="5123" max="5123" width="16.7109375" style="375" customWidth="1"/>
    <col min="5124" max="5124" width="1.7109375" style="375" customWidth="1"/>
    <col min="5125" max="5125" width="97.8515625" style="375" customWidth="1"/>
    <col min="5126" max="5126" width="5.00390625" style="375" customWidth="1"/>
    <col min="5127" max="5127" width="15.00390625" style="375" customWidth="1"/>
    <col min="5128" max="5128" width="14.00390625" style="375" customWidth="1"/>
    <col min="5129" max="5131" width="16.7109375" style="375" customWidth="1"/>
    <col min="5132" max="5134" width="13.7109375" style="375" customWidth="1"/>
    <col min="5135" max="5144" width="13.421875" style="375" customWidth="1"/>
    <col min="5145" max="5184" width="13.57421875" style="375" hidden="1" customWidth="1"/>
    <col min="5185" max="5376" width="13.421875" style="375" customWidth="1"/>
    <col min="5377" max="5377" width="4.28125" style="375" customWidth="1"/>
    <col min="5378" max="5378" width="8.8515625" style="375" customWidth="1"/>
    <col min="5379" max="5379" width="16.7109375" style="375" customWidth="1"/>
    <col min="5380" max="5380" width="1.7109375" style="375" customWidth="1"/>
    <col min="5381" max="5381" width="97.8515625" style="375" customWidth="1"/>
    <col min="5382" max="5382" width="5.00390625" style="375" customWidth="1"/>
    <col min="5383" max="5383" width="15.00390625" style="375" customWidth="1"/>
    <col min="5384" max="5384" width="14.00390625" style="375" customWidth="1"/>
    <col min="5385" max="5387" width="16.7109375" style="375" customWidth="1"/>
    <col min="5388" max="5390" width="13.7109375" style="375" customWidth="1"/>
    <col min="5391" max="5400" width="13.421875" style="375" customWidth="1"/>
    <col min="5401" max="5440" width="13.57421875" style="375" hidden="1" customWidth="1"/>
    <col min="5441" max="5632" width="13.421875" style="375" customWidth="1"/>
    <col min="5633" max="5633" width="4.28125" style="375" customWidth="1"/>
    <col min="5634" max="5634" width="8.8515625" style="375" customWidth="1"/>
    <col min="5635" max="5635" width="16.7109375" style="375" customWidth="1"/>
    <col min="5636" max="5636" width="1.7109375" style="375" customWidth="1"/>
    <col min="5637" max="5637" width="97.8515625" style="375" customWidth="1"/>
    <col min="5638" max="5638" width="5.00390625" style="375" customWidth="1"/>
    <col min="5639" max="5639" width="15.00390625" style="375" customWidth="1"/>
    <col min="5640" max="5640" width="14.00390625" style="375" customWidth="1"/>
    <col min="5641" max="5643" width="16.7109375" style="375" customWidth="1"/>
    <col min="5644" max="5646" width="13.7109375" style="375" customWidth="1"/>
    <col min="5647" max="5656" width="13.421875" style="375" customWidth="1"/>
    <col min="5657" max="5696" width="13.57421875" style="375" hidden="1" customWidth="1"/>
    <col min="5697" max="5888" width="13.421875" style="375" customWidth="1"/>
    <col min="5889" max="5889" width="4.28125" style="375" customWidth="1"/>
    <col min="5890" max="5890" width="8.8515625" style="375" customWidth="1"/>
    <col min="5891" max="5891" width="16.7109375" style="375" customWidth="1"/>
    <col min="5892" max="5892" width="1.7109375" style="375" customWidth="1"/>
    <col min="5893" max="5893" width="97.8515625" style="375" customWidth="1"/>
    <col min="5894" max="5894" width="5.00390625" style="375" customWidth="1"/>
    <col min="5895" max="5895" width="15.00390625" style="375" customWidth="1"/>
    <col min="5896" max="5896" width="14.00390625" style="375" customWidth="1"/>
    <col min="5897" max="5899" width="16.7109375" style="375" customWidth="1"/>
    <col min="5900" max="5902" width="13.7109375" style="375" customWidth="1"/>
    <col min="5903" max="5912" width="13.421875" style="375" customWidth="1"/>
    <col min="5913" max="5952" width="13.57421875" style="375" hidden="1" customWidth="1"/>
    <col min="5953" max="6144" width="13.421875" style="375" customWidth="1"/>
    <col min="6145" max="6145" width="4.28125" style="375" customWidth="1"/>
    <col min="6146" max="6146" width="8.8515625" style="375" customWidth="1"/>
    <col min="6147" max="6147" width="16.7109375" style="375" customWidth="1"/>
    <col min="6148" max="6148" width="1.7109375" style="375" customWidth="1"/>
    <col min="6149" max="6149" width="97.8515625" style="375" customWidth="1"/>
    <col min="6150" max="6150" width="5.00390625" style="375" customWidth="1"/>
    <col min="6151" max="6151" width="15.00390625" style="375" customWidth="1"/>
    <col min="6152" max="6152" width="14.00390625" style="375" customWidth="1"/>
    <col min="6153" max="6155" width="16.7109375" style="375" customWidth="1"/>
    <col min="6156" max="6158" width="13.7109375" style="375" customWidth="1"/>
    <col min="6159" max="6168" width="13.421875" style="375" customWidth="1"/>
    <col min="6169" max="6208" width="13.57421875" style="375" hidden="1" customWidth="1"/>
    <col min="6209" max="6400" width="13.421875" style="375" customWidth="1"/>
    <col min="6401" max="6401" width="4.28125" style="375" customWidth="1"/>
    <col min="6402" max="6402" width="8.8515625" style="375" customWidth="1"/>
    <col min="6403" max="6403" width="16.7109375" style="375" customWidth="1"/>
    <col min="6404" max="6404" width="1.7109375" style="375" customWidth="1"/>
    <col min="6405" max="6405" width="97.8515625" style="375" customWidth="1"/>
    <col min="6406" max="6406" width="5.00390625" style="375" customWidth="1"/>
    <col min="6407" max="6407" width="15.00390625" style="375" customWidth="1"/>
    <col min="6408" max="6408" width="14.00390625" style="375" customWidth="1"/>
    <col min="6409" max="6411" width="16.7109375" style="375" customWidth="1"/>
    <col min="6412" max="6414" width="13.7109375" style="375" customWidth="1"/>
    <col min="6415" max="6424" width="13.421875" style="375" customWidth="1"/>
    <col min="6425" max="6464" width="13.57421875" style="375" hidden="1" customWidth="1"/>
    <col min="6465" max="6656" width="13.421875" style="375" customWidth="1"/>
    <col min="6657" max="6657" width="4.28125" style="375" customWidth="1"/>
    <col min="6658" max="6658" width="8.8515625" style="375" customWidth="1"/>
    <col min="6659" max="6659" width="16.7109375" style="375" customWidth="1"/>
    <col min="6660" max="6660" width="1.7109375" style="375" customWidth="1"/>
    <col min="6661" max="6661" width="97.8515625" style="375" customWidth="1"/>
    <col min="6662" max="6662" width="5.00390625" style="375" customWidth="1"/>
    <col min="6663" max="6663" width="15.00390625" style="375" customWidth="1"/>
    <col min="6664" max="6664" width="14.00390625" style="375" customWidth="1"/>
    <col min="6665" max="6667" width="16.7109375" style="375" customWidth="1"/>
    <col min="6668" max="6670" width="13.7109375" style="375" customWidth="1"/>
    <col min="6671" max="6680" width="13.421875" style="375" customWidth="1"/>
    <col min="6681" max="6720" width="13.57421875" style="375" hidden="1" customWidth="1"/>
    <col min="6721" max="6912" width="13.421875" style="375" customWidth="1"/>
    <col min="6913" max="6913" width="4.28125" style="375" customWidth="1"/>
    <col min="6914" max="6914" width="8.8515625" style="375" customWidth="1"/>
    <col min="6915" max="6915" width="16.7109375" style="375" customWidth="1"/>
    <col min="6916" max="6916" width="1.7109375" style="375" customWidth="1"/>
    <col min="6917" max="6917" width="97.8515625" style="375" customWidth="1"/>
    <col min="6918" max="6918" width="5.00390625" style="375" customWidth="1"/>
    <col min="6919" max="6919" width="15.00390625" style="375" customWidth="1"/>
    <col min="6920" max="6920" width="14.00390625" style="375" customWidth="1"/>
    <col min="6921" max="6923" width="16.7109375" style="375" customWidth="1"/>
    <col min="6924" max="6926" width="13.7109375" style="375" customWidth="1"/>
    <col min="6927" max="6936" width="13.421875" style="375" customWidth="1"/>
    <col min="6937" max="6976" width="13.57421875" style="375" hidden="1" customWidth="1"/>
    <col min="6977" max="7168" width="13.421875" style="375" customWidth="1"/>
    <col min="7169" max="7169" width="4.28125" style="375" customWidth="1"/>
    <col min="7170" max="7170" width="8.8515625" style="375" customWidth="1"/>
    <col min="7171" max="7171" width="16.7109375" style="375" customWidth="1"/>
    <col min="7172" max="7172" width="1.7109375" style="375" customWidth="1"/>
    <col min="7173" max="7173" width="97.8515625" style="375" customWidth="1"/>
    <col min="7174" max="7174" width="5.00390625" style="375" customWidth="1"/>
    <col min="7175" max="7175" width="15.00390625" style="375" customWidth="1"/>
    <col min="7176" max="7176" width="14.00390625" style="375" customWidth="1"/>
    <col min="7177" max="7179" width="16.7109375" style="375" customWidth="1"/>
    <col min="7180" max="7182" width="13.7109375" style="375" customWidth="1"/>
    <col min="7183" max="7192" width="13.421875" style="375" customWidth="1"/>
    <col min="7193" max="7232" width="13.57421875" style="375" hidden="1" customWidth="1"/>
    <col min="7233" max="7424" width="13.421875" style="375" customWidth="1"/>
    <col min="7425" max="7425" width="4.28125" style="375" customWidth="1"/>
    <col min="7426" max="7426" width="8.8515625" style="375" customWidth="1"/>
    <col min="7427" max="7427" width="16.7109375" style="375" customWidth="1"/>
    <col min="7428" max="7428" width="1.7109375" style="375" customWidth="1"/>
    <col min="7429" max="7429" width="97.8515625" style="375" customWidth="1"/>
    <col min="7430" max="7430" width="5.00390625" style="375" customWidth="1"/>
    <col min="7431" max="7431" width="15.00390625" style="375" customWidth="1"/>
    <col min="7432" max="7432" width="14.00390625" style="375" customWidth="1"/>
    <col min="7433" max="7435" width="16.7109375" style="375" customWidth="1"/>
    <col min="7436" max="7438" width="13.7109375" style="375" customWidth="1"/>
    <col min="7439" max="7448" width="13.421875" style="375" customWidth="1"/>
    <col min="7449" max="7488" width="13.57421875" style="375" hidden="1" customWidth="1"/>
    <col min="7489" max="7680" width="13.421875" style="375" customWidth="1"/>
    <col min="7681" max="7681" width="4.28125" style="375" customWidth="1"/>
    <col min="7682" max="7682" width="8.8515625" style="375" customWidth="1"/>
    <col min="7683" max="7683" width="16.7109375" style="375" customWidth="1"/>
    <col min="7684" max="7684" width="1.7109375" style="375" customWidth="1"/>
    <col min="7685" max="7685" width="97.8515625" style="375" customWidth="1"/>
    <col min="7686" max="7686" width="5.00390625" style="375" customWidth="1"/>
    <col min="7687" max="7687" width="15.00390625" style="375" customWidth="1"/>
    <col min="7688" max="7688" width="14.00390625" style="375" customWidth="1"/>
    <col min="7689" max="7691" width="16.7109375" style="375" customWidth="1"/>
    <col min="7692" max="7694" width="13.7109375" style="375" customWidth="1"/>
    <col min="7695" max="7704" width="13.421875" style="375" customWidth="1"/>
    <col min="7705" max="7744" width="13.57421875" style="375" hidden="1" customWidth="1"/>
    <col min="7745" max="7936" width="13.421875" style="375" customWidth="1"/>
    <col min="7937" max="7937" width="4.28125" style="375" customWidth="1"/>
    <col min="7938" max="7938" width="8.8515625" style="375" customWidth="1"/>
    <col min="7939" max="7939" width="16.7109375" style="375" customWidth="1"/>
    <col min="7940" max="7940" width="1.7109375" style="375" customWidth="1"/>
    <col min="7941" max="7941" width="97.8515625" style="375" customWidth="1"/>
    <col min="7942" max="7942" width="5.00390625" style="375" customWidth="1"/>
    <col min="7943" max="7943" width="15.00390625" style="375" customWidth="1"/>
    <col min="7944" max="7944" width="14.00390625" style="375" customWidth="1"/>
    <col min="7945" max="7947" width="16.7109375" style="375" customWidth="1"/>
    <col min="7948" max="7950" width="13.7109375" style="375" customWidth="1"/>
    <col min="7951" max="7960" width="13.421875" style="375" customWidth="1"/>
    <col min="7961" max="8000" width="13.57421875" style="375" hidden="1" customWidth="1"/>
    <col min="8001" max="8192" width="13.421875" style="375" customWidth="1"/>
    <col min="8193" max="8193" width="4.28125" style="375" customWidth="1"/>
    <col min="8194" max="8194" width="8.8515625" style="375" customWidth="1"/>
    <col min="8195" max="8195" width="16.7109375" style="375" customWidth="1"/>
    <col min="8196" max="8196" width="1.7109375" style="375" customWidth="1"/>
    <col min="8197" max="8197" width="97.8515625" style="375" customWidth="1"/>
    <col min="8198" max="8198" width="5.00390625" style="375" customWidth="1"/>
    <col min="8199" max="8199" width="15.00390625" style="375" customWidth="1"/>
    <col min="8200" max="8200" width="14.00390625" style="375" customWidth="1"/>
    <col min="8201" max="8203" width="16.7109375" style="375" customWidth="1"/>
    <col min="8204" max="8206" width="13.7109375" style="375" customWidth="1"/>
    <col min="8207" max="8216" width="13.421875" style="375" customWidth="1"/>
    <col min="8217" max="8256" width="13.57421875" style="375" hidden="1" customWidth="1"/>
    <col min="8257" max="8448" width="13.421875" style="375" customWidth="1"/>
    <col min="8449" max="8449" width="4.28125" style="375" customWidth="1"/>
    <col min="8450" max="8450" width="8.8515625" style="375" customWidth="1"/>
    <col min="8451" max="8451" width="16.7109375" style="375" customWidth="1"/>
    <col min="8452" max="8452" width="1.7109375" style="375" customWidth="1"/>
    <col min="8453" max="8453" width="97.8515625" style="375" customWidth="1"/>
    <col min="8454" max="8454" width="5.00390625" style="375" customWidth="1"/>
    <col min="8455" max="8455" width="15.00390625" style="375" customWidth="1"/>
    <col min="8456" max="8456" width="14.00390625" style="375" customWidth="1"/>
    <col min="8457" max="8459" width="16.7109375" style="375" customWidth="1"/>
    <col min="8460" max="8462" width="13.7109375" style="375" customWidth="1"/>
    <col min="8463" max="8472" width="13.421875" style="375" customWidth="1"/>
    <col min="8473" max="8512" width="13.57421875" style="375" hidden="1" customWidth="1"/>
    <col min="8513" max="8704" width="13.421875" style="375" customWidth="1"/>
    <col min="8705" max="8705" width="4.28125" style="375" customWidth="1"/>
    <col min="8706" max="8706" width="8.8515625" style="375" customWidth="1"/>
    <col min="8707" max="8707" width="16.7109375" style="375" customWidth="1"/>
    <col min="8708" max="8708" width="1.7109375" style="375" customWidth="1"/>
    <col min="8709" max="8709" width="97.8515625" style="375" customWidth="1"/>
    <col min="8710" max="8710" width="5.00390625" style="375" customWidth="1"/>
    <col min="8711" max="8711" width="15.00390625" style="375" customWidth="1"/>
    <col min="8712" max="8712" width="14.00390625" style="375" customWidth="1"/>
    <col min="8713" max="8715" width="16.7109375" style="375" customWidth="1"/>
    <col min="8716" max="8718" width="13.7109375" style="375" customWidth="1"/>
    <col min="8719" max="8728" width="13.421875" style="375" customWidth="1"/>
    <col min="8729" max="8768" width="13.57421875" style="375" hidden="1" customWidth="1"/>
    <col min="8769" max="8960" width="13.421875" style="375" customWidth="1"/>
    <col min="8961" max="8961" width="4.28125" style="375" customWidth="1"/>
    <col min="8962" max="8962" width="8.8515625" style="375" customWidth="1"/>
    <col min="8963" max="8963" width="16.7109375" style="375" customWidth="1"/>
    <col min="8964" max="8964" width="1.7109375" style="375" customWidth="1"/>
    <col min="8965" max="8965" width="97.8515625" style="375" customWidth="1"/>
    <col min="8966" max="8966" width="5.00390625" style="375" customWidth="1"/>
    <col min="8967" max="8967" width="15.00390625" style="375" customWidth="1"/>
    <col min="8968" max="8968" width="14.00390625" style="375" customWidth="1"/>
    <col min="8969" max="8971" width="16.7109375" style="375" customWidth="1"/>
    <col min="8972" max="8974" width="13.7109375" style="375" customWidth="1"/>
    <col min="8975" max="8984" width="13.421875" style="375" customWidth="1"/>
    <col min="8985" max="9024" width="13.57421875" style="375" hidden="1" customWidth="1"/>
    <col min="9025" max="9216" width="13.421875" style="375" customWidth="1"/>
    <col min="9217" max="9217" width="4.28125" style="375" customWidth="1"/>
    <col min="9218" max="9218" width="8.8515625" style="375" customWidth="1"/>
    <col min="9219" max="9219" width="16.7109375" style="375" customWidth="1"/>
    <col min="9220" max="9220" width="1.7109375" style="375" customWidth="1"/>
    <col min="9221" max="9221" width="97.8515625" style="375" customWidth="1"/>
    <col min="9222" max="9222" width="5.00390625" style="375" customWidth="1"/>
    <col min="9223" max="9223" width="15.00390625" style="375" customWidth="1"/>
    <col min="9224" max="9224" width="14.00390625" style="375" customWidth="1"/>
    <col min="9225" max="9227" width="16.7109375" style="375" customWidth="1"/>
    <col min="9228" max="9230" width="13.7109375" style="375" customWidth="1"/>
    <col min="9231" max="9240" width="13.421875" style="375" customWidth="1"/>
    <col min="9241" max="9280" width="13.57421875" style="375" hidden="1" customWidth="1"/>
    <col min="9281" max="9472" width="13.421875" style="375" customWidth="1"/>
    <col min="9473" max="9473" width="4.28125" style="375" customWidth="1"/>
    <col min="9474" max="9474" width="8.8515625" style="375" customWidth="1"/>
    <col min="9475" max="9475" width="16.7109375" style="375" customWidth="1"/>
    <col min="9476" max="9476" width="1.7109375" style="375" customWidth="1"/>
    <col min="9477" max="9477" width="97.8515625" style="375" customWidth="1"/>
    <col min="9478" max="9478" width="5.00390625" style="375" customWidth="1"/>
    <col min="9479" max="9479" width="15.00390625" style="375" customWidth="1"/>
    <col min="9480" max="9480" width="14.00390625" style="375" customWidth="1"/>
    <col min="9481" max="9483" width="16.7109375" style="375" customWidth="1"/>
    <col min="9484" max="9486" width="13.7109375" style="375" customWidth="1"/>
    <col min="9487" max="9496" width="13.421875" style="375" customWidth="1"/>
    <col min="9497" max="9536" width="13.57421875" style="375" hidden="1" customWidth="1"/>
    <col min="9537" max="9728" width="13.421875" style="375" customWidth="1"/>
    <col min="9729" max="9729" width="4.28125" style="375" customWidth="1"/>
    <col min="9730" max="9730" width="8.8515625" style="375" customWidth="1"/>
    <col min="9731" max="9731" width="16.7109375" style="375" customWidth="1"/>
    <col min="9732" max="9732" width="1.7109375" style="375" customWidth="1"/>
    <col min="9733" max="9733" width="97.8515625" style="375" customWidth="1"/>
    <col min="9734" max="9734" width="5.00390625" style="375" customWidth="1"/>
    <col min="9735" max="9735" width="15.00390625" style="375" customWidth="1"/>
    <col min="9736" max="9736" width="14.00390625" style="375" customWidth="1"/>
    <col min="9737" max="9739" width="16.7109375" style="375" customWidth="1"/>
    <col min="9740" max="9742" width="13.7109375" style="375" customWidth="1"/>
    <col min="9743" max="9752" width="13.421875" style="375" customWidth="1"/>
    <col min="9753" max="9792" width="13.57421875" style="375" hidden="1" customWidth="1"/>
    <col min="9793" max="9984" width="13.421875" style="375" customWidth="1"/>
    <col min="9985" max="9985" width="4.28125" style="375" customWidth="1"/>
    <col min="9986" max="9986" width="8.8515625" style="375" customWidth="1"/>
    <col min="9987" max="9987" width="16.7109375" style="375" customWidth="1"/>
    <col min="9988" max="9988" width="1.7109375" style="375" customWidth="1"/>
    <col min="9989" max="9989" width="97.8515625" style="375" customWidth="1"/>
    <col min="9990" max="9990" width="5.00390625" style="375" customWidth="1"/>
    <col min="9991" max="9991" width="15.00390625" style="375" customWidth="1"/>
    <col min="9992" max="9992" width="14.00390625" style="375" customWidth="1"/>
    <col min="9993" max="9995" width="16.7109375" style="375" customWidth="1"/>
    <col min="9996" max="9998" width="13.7109375" style="375" customWidth="1"/>
    <col min="9999" max="10008" width="13.421875" style="375" customWidth="1"/>
    <col min="10009" max="10048" width="13.57421875" style="375" hidden="1" customWidth="1"/>
    <col min="10049" max="10240" width="13.421875" style="375" customWidth="1"/>
    <col min="10241" max="10241" width="4.28125" style="375" customWidth="1"/>
    <col min="10242" max="10242" width="8.8515625" style="375" customWidth="1"/>
    <col min="10243" max="10243" width="16.7109375" style="375" customWidth="1"/>
    <col min="10244" max="10244" width="1.7109375" style="375" customWidth="1"/>
    <col min="10245" max="10245" width="97.8515625" style="375" customWidth="1"/>
    <col min="10246" max="10246" width="5.00390625" style="375" customWidth="1"/>
    <col min="10247" max="10247" width="15.00390625" style="375" customWidth="1"/>
    <col min="10248" max="10248" width="14.00390625" style="375" customWidth="1"/>
    <col min="10249" max="10251" width="16.7109375" style="375" customWidth="1"/>
    <col min="10252" max="10254" width="13.7109375" style="375" customWidth="1"/>
    <col min="10255" max="10264" width="13.421875" style="375" customWidth="1"/>
    <col min="10265" max="10304" width="13.57421875" style="375" hidden="1" customWidth="1"/>
    <col min="10305" max="10496" width="13.421875" style="375" customWidth="1"/>
    <col min="10497" max="10497" width="4.28125" style="375" customWidth="1"/>
    <col min="10498" max="10498" width="8.8515625" style="375" customWidth="1"/>
    <col min="10499" max="10499" width="16.7109375" style="375" customWidth="1"/>
    <col min="10500" max="10500" width="1.7109375" style="375" customWidth="1"/>
    <col min="10501" max="10501" width="97.8515625" style="375" customWidth="1"/>
    <col min="10502" max="10502" width="5.00390625" style="375" customWidth="1"/>
    <col min="10503" max="10503" width="15.00390625" style="375" customWidth="1"/>
    <col min="10504" max="10504" width="14.00390625" style="375" customWidth="1"/>
    <col min="10505" max="10507" width="16.7109375" style="375" customWidth="1"/>
    <col min="10508" max="10510" width="13.7109375" style="375" customWidth="1"/>
    <col min="10511" max="10520" width="13.421875" style="375" customWidth="1"/>
    <col min="10521" max="10560" width="13.57421875" style="375" hidden="1" customWidth="1"/>
    <col min="10561" max="10752" width="13.421875" style="375" customWidth="1"/>
    <col min="10753" max="10753" width="4.28125" style="375" customWidth="1"/>
    <col min="10754" max="10754" width="8.8515625" style="375" customWidth="1"/>
    <col min="10755" max="10755" width="16.7109375" style="375" customWidth="1"/>
    <col min="10756" max="10756" width="1.7109375" style="375" customWidth="1"/>
    <col min="10757" max="10757" width="97.8515625" style="375" customWidth="1"/>
    <col min="10758" max="10758" width="5.00390625" style="375" customWidth="1"/>
    <col min="10759" max="10759" width="15.00390625" style="375" customWidth="1"/>
    <col min="10760" max="10760" width="14.00390625" style="375" customWidth="1"/>
    <col min="10761" max="10763" width="16.7109375" style="375" customWidth="1"/>
    <col min="10764" max="10766" width="13.7109375" style="375" customWidth="1"/>
    <col min="10767" max="10776" width="13.421875" style="375" customWidth="1"/>
    <col min="10777" max="10816" width="13.57421875" style="375" hidden="1" customWidth="1"/>
    <col min="10817" max="11008" width="13.421875" style="375" customWidth="1"/>
    <col min="11009" max="11009" width="4.28125" style="375" customWidth="1"/>
    <col min="11010" max="11010" width="8.8515625" style="375" customWidth="1"/>
    <col min="11011" max="11011" width="16.7109375" style="375" customWidth="1"/>
    <col min="11012" max="11012" width="1.7109375" style="375" customWidth="1"/>
    <col min="11013" max="11013" width="97.8515625" style="375" customWidth="1"/>
    <col min="11014" max="11014" width="5.00390625" style="375" customWidth="1"/>
    <col min="11015" max="11015" width="15.00390625" style="375" customWidth="1"/>
    <col min="11016" max="11016" width="14.00390625" style="375" customWidth="1"/>
    <col min="11017" max="11019" width="16.7109375" style="375" customWidth="1"/>
    <col min="11020" max="11022" width="13.7109375" style="375" customWidth="1"/>
    <col min="11023" max="11032" width="13.421875" style="375" customWidth="1"/>
    <col min="11033" max="11072" width="13.57421875" style="375" hidden="1" customWidth="1"/>
    <col min="11073" max="11264" width="13.421875" style="375" customWidth="1"/>
    <col min="11265" max="11265" width="4.28125" style="375" customWidth="1"/>
    <col min="11266" max="11266" width="8.8515625" style="375" customWidth="1"/>
    <col min="11267" max="11267" width="16.7109375" style="375" customWidth="1"/>
    <col min="11268" max="11268" width="1.7109375" style="375" customWidth="1"/>
    <col min="11269" max="11269" width="97.8515625" style="375" customWidth="1"/>
    <col min="11270" max="11270" width="5.00390625" style="375" customWidth="1"/>
    <col min="11271" max="11271" width="15.00390625" style="375" customWidth="1"/>
    <col min="11272" max="11272" width="14.00390625" style="375" customWidth="1"/>
    <col min="11273" max="11275" width="16.7109375" style="375" customWidth="1"/>
    <col min="11276" max="11278" width="13.7109375" style="375" customWidth="1"/>
    <col min="11279" max="11288" width="13.421875" style="375" customWidth="1"/>
    <col min="11289" max="11328" width="13.57421875" style="375" hidden="1" customWidth="1"/>
    <col min="11329" max="11520" width="13.421875" style="375" customWidth="1"/>
    <col min="11521" max="11521" width="4.28125" style="375" customWidth="1"/>
    <col min="11522" max="11522" width="8.8515625" style="375" customWidth="1"/>
    <col min="11523" max="11523" width="16.7109375" style="375" customWidth="1"/>
    <col min="11524" max="11524" width="1.7109375" style="375" customWidth="1"/>
    <col min="11525" max="11525" width="97.8515625" style="375" customWidth="1"/>
    <col min="11526" max="11526" width="5.00390625" style="375" customWidth="1"/>
    <col min="11527" max="11527" width="15.00390625" style="375" customWidth="1"/>
    <col min="11528" max="11528" width="14.00390625" style="375" customWidth="1"/>
    <col min="11529" max="11531" width="16.7109375" style="375" customWidth="1"/>
    <col min="11532" max="11534" width="13.7109375" style="375" customWidth="1"/>
    <col min="11535" max="11544" width="13.421875" style="375" customWidth="1"/>
    <col min="11545" max="11584" width="13.57421875" style="375" hidden="1" customWidth="1"/>
    <col min="11585" max="11776" width="13.421875" style="375" customWidth="1"/>
    <col min="11777" max="11777" width="4.28125" style="375" customWidth="1"/>
    <col min="11778" max="11778" width="8.8515625" style="375" customWidth="1"/>
    <col min="11779" max="11779" width="16.7109375" style="375" customWidth="1"/>
    <col min="11780" max="11780" width="1.7109375" style="375" customWidth="1"/>
    <col min="11781" max="11781" width="97.8515625" style="375" customWidth="1"/>
    <col min="11782" max="11782" width="5.00390625" style="375" customWidth="1"/>
    <col min="11783" max="11783" width="15.00390625" style="375" customWidth="1"/>
    <col min="11784" max="11784" width="14.00390625" style="375" customWidth="1"/>
    <col min="11785" max="11787" width="16.7109375" style="375" customWidth="1"/>
    <col min="11788" max="11790" width="13.7109375" style="375" customWidth="1"/>
    <col min="11791" max="11800" width="13.421875" style="375" customWidth="1"/>
    <col min="11801" max="11840" width="13.57421875" style="375" hidden="1" customWidth="1"/>
    <col min="11841" max="12032" width="13.421875" style="375" customWidth="1"/>
    <col min="12033" max="12033" width="4.28125" style="375" customWidth="1"/>
    <col min="12034" max="12034" width="8.8515625" style="375" customWidth="1"/>
    <col min="12035" max="12035" width="16.7109375" style="375" customWidth="1"/>
    <col min="12036" max="12036" width="1.7109375" style="375" customWidth="1"/>
    <col min="12037" max="12037" width="97.8515625" style="375" customWidth="1"/>
    <col min="12038" max="12038" width="5.00390625" style="375" customWidth="1"/>
    <col min="12039" max="12039" width="15.00390625" style="375" customWidth="1"/>
    <col min="12040" max="12040" width="14.00390625" style="375" customWidth="1"/>
    <col min="12041" max="12043" width="16.7109375" style="375" customWidth="1"/>
    <col min="12044" max="12046" width="13.7109375" style="375" customWidth="1"/>
    <col min="12047" max="12056" width="13.421875" style="375" customWidth="1"/>
    <col min="12057" max="12096" width="13.57421875" style="375" hidden="1" customWidth="1"/>
    <col min="12097" max="12288" width="13.421875" style="375" customWidth="1"/>
    <col min="12289" max="12289" width="4.28125" style="375" customWidth="1"/>
    <col min="12290" max="12290" width="8.8515625" style="375" customWidth="1"/>
    <col min="12291" max="12291" width="16.7109375" style="375" customWidth="1"/>
    <col min="12292" max="12292" width="1.7109375" style="375" customWidth="1"/>
    <col min="12293" max="12293" width="97.8515625" style="375" customWidth="1"/>
    <col min="12294" max="12294" width="5.00390625" style="375" customWidth="1"/>
    <col min="12295" max="12295" width="15.00390625" style="375" customWidth="1"/>
    <col min="12296" max="12296" width="14.00390625" style="375" customWidth="1"/>
    <col min="12297" max="12299" width="16.7109375" style="375" customWidth="1"/>
    <col min="12300" max="12302" width="13.7109375" style="375" customWidth="1"/>
    <col min="12303" max="12312" width="13.421875" style="375" customWidth="1"/>
    <col min="12313" max="12352" width="13.57421875" style="375" hidden="1" customWidth="1"/>
    <col min="12353" max="12544" width="13.421875" style="375" customWidth="1"/>
    <col min="12545" max="12545" width="4.28125" style="375" customWidth="1"/>
    <col min="12546" max="12546" width="8.8515625" style="375" customWidth="1"/>
    <col min="12547" max="12547" width="16.7109375" style="375" customWidth="1"/>
    <col min="12548" max="12548" width="1.7109375" style="375" customWidth="1"/>
    <col min="12549" max="12549" width="97.8515625" style="375" customWidth="1"/>
    <col min="12550" max="12550" width="5.00390625" style="375" customWidth="1"/>
    <col min="12551" max="12551" width="15.00390625" style="375" customWidth="1"/>
    <col min="12552" max="12552" width="14.00390625" style="375" customWidth="1"/>
    <col min="12553" max="12555" width="16.7109375" style="375" customWidth="1"/>
    <col min="12556" max="12558" width="13.7109375" style="375" customWidth="1"/>
    <col min="12559" max="12568" width="13.421875" style="375" customWidth="1"/>
    <col min="12569" max="12608" width="13.57421875" style="375" hidden="1" customWidth="1"/>
    <col min="12609" max="12800" width="13.421875" style="375" customWidth="1"/>
    <col min="12801" max="12801" width="4.28125" style="375" customWidth="1"/>
    <col min="12802" max="12802" width="8.8515625" style="375" customWidth="1"/>
    <col min="12803" max="12803" width="16.7109375" style="375" customWidth="1"/>
    <col min="12804" max="12804" width="1.7109375" style="375" customWidth="1"/>
    <col min="12805" max="12805" width="97.8515625" style="375" customWidth="1"/>
    <col min="12806" max="12806" width="5.00390625" style="375" customWidth="1"/>
    <col min="12807" max="12807" width="15.00390625" style="375" customWidth="1"/>
    <col min="12808" max="12808" width="14.00390625" style="375" customWidth="1"/>
    <col min="12809" max="12811" width="16.7109375" style="375" customWidth="1"/>
    <col min="12812" max="12814" width="13.7109375" style="375" customWidth="1"/>
    <col min="12815" max="12824" width="13.421875" style="375" customWidth="1"/>
    <col min="12825" max="12864" width="13.57421875" style="375" hidden="1" customWidth="1"/>
    <col min="12865" max="13056" width="13.421875" style="375" customWidth="1"/>
    <col min="13057" max="13057" width="4.28125" style="375" customWidth="1"/>
    <col min="13058" max="13058" width="8.8515625" style="375" customWidth="1"/>
    <col min="13059" max="13059" width="16.7109375" style="375" customWidth="1"/>
    <col min="13060" max="13060" width="1.7109375" style="375" customWidth="1"/>
    <col min="13061" max="13061" width="97.8515625" style="375" customWidth="1"/>
    <col min="13062" max="13062" width="5.00390625" style="375" customWidth="1"/>
    <col min="13063" max="13063" width="15.00390625" style="375" customWidth="1"/>
    <col min="13064" max="13064" width="14.00390625" style="375" customWidth="1"/>
    <col min="13065" max="13067" width="16.7109375" style="375" customWidth="1"/>
    <col min="13068" max="13070" width="13.7109375" style="375" customWidth="1"/>
    <col min="13071" max="13080" width="13.421875" style="375" customWidth="1"/>
    <col min="13081" max="13120" width="13.57421875" style="375" hidden="1" customWidth="1"/>
    <col min="13121" max="13312" width="13.421875" style="375" customWidth="1"/>
    <col min="13313" max="13313" width="4.28125" style="375" customWidth="1"/>
    <col min="13314" max="13314" width="8.8515625" style="375" customWidth="1"/>
    <col min="13315" max="13315" width="16.7109375" style="375" customWidth="1"/>
    <col min="13316" max="13316" width="1.7109375" style="375" customWidth="1"/>
    <col min="13317" max="13317" width="97.8515625" style="375" customWidth="1"/>
    <col min="13318" max="13318" width="5.00390625" style="375" customWidth="1"/>
    <col min="13319" max="13319" width="15.00390625" style="375" customWidth="1"/>
    <col min="13320" max="13320" width="14.00390625" style="375" customWidth="1"/>
    <col min="13321" max="13323" width="16.7109375" style="375" customWidth="1"/>
    <col min="13324" max="13326" width="13.7109375" style="375" customWidth="1"/>
    <col min="13327" max="13336" width="13.421875" style="375" customWidth="1"/>
    <col min="13337" max="13376" width="13.57421875" style="375" hidden="1" customWidth="1"/>
    <col min="13377" max="13568" width="13.421875" style="375" customWidth="1"/>
    <col min="13569" max="13569" width="4.28125" style="375" customWidth="1"/>
    <col min="13570" max="13570" width="8.8515625" style="375" customWidth="1"/>
    <col min="13571" max="13571" width="16.7109375" style="375" customWidth="1"/>
    <col min="13572" max="13572" width="1.7109375" style="375" customWidth="1"/>
    <col min="13573" max="13573" width="97.8515625" style="375" customWidth="1"/>
    <col min="13574" max="13574" width="5.00390625" style="375" customWidth="1"/>
    <col min="13575" max="13575" width="15.00390625" style="375" customWidth="1"/>
    <col min="13576" max="13576" width="14.00390625" style="375" customWidth="1"/>
    <col min="13577" max="13579" width="16.7109375" style="375" customWidth="1"/>
    <col min="13580" max="13582" width="13.7109375" style="375" customWidth="1"/>
    <col min="13583" max="13592" width="13.421875" style="375" customWidth="1"/>
    <col min="13593" max="13632" width="13.57421875" style="375" hidden="1" customWidth="1"/>
    <col min="13633" max="13824" width="13.421875" style="375" customWidth="1"/>
    <col min="13825" max="13825" width="4.28125" style="375" customWidth="1"/>
    <col min="13826" max="13826" width="8.8515625" style="375" customWidth="1"/>
    <col min="13827" max="13827" width="16.7109375" style="375" customWidth="1"/>
    <col min="13828" max="13828" width="1.7109375" style="375" customWidth="1"/>
    <col min="13829" max="13829" width="97.8515625" style="375" customWidth="1"/>
    <col min="13830" max="13830" width="5.00390625" style="375" customWidth="1"/>
    <col min="13831" max="13831" width="15.00390625" style="375" customWidth="1"/>
    <col min="13832" max="13832" width="14.00390625" style="375" customWidth="1"/>
    <col min="13833" max="13835" width="16.7109375" style="375" customWidth="1"/>
    <col min="13836" max="13838" width="13.7109375" style="375" customWidth="1"/>
    <col min="13839" max="13848" width="13.421875" style="375" customWidth="1"/>
    <col min="13849" max="13888" width="13.57421875" style="375" hidden="1" customWidth="1"/>
    <col min="13889" max="14080" width="13.421875" style="375" customWidth="1"/>
    <col min="14081" max="14081" width="4.28125" style="375" customWidth="1"/>
    <col min="14082" max="14082" width="8.8515625" style="375" customWidth="1"/>
    <col min="14083" max="14083" width="16.7109375" style="375" customWidth="1"/>
    <col min="14084" max="14084" width="1.7109375" style="375" customWidth="1"/>
    <col min="14085" max="14085" width="97.8515625" style="375" customWidth="1"/>
    <col min="14086" max="14086" width="5.00390625" style="375" customWidth="1"/>
    <col min="14087" max="14087" width="15.00390625" style="375" customWidth="1"/>
    <col min="14088" max="14088" width="14.00390625" style="375" customWidth="1"/>
    <col min="14089" max="14091" width="16.7109375" style="375" customWidth="1"/>
    <col min="14092" max="14094" width="13.7109375" style="375" customWidth="1"/>
    <col min="14095" max="14104" width="13.421875" style="375" customWidth="1"/>
    <col min="14105" max="14144" width="13.57421875" style="375" hidden="1" customWidth="1"/>
    <col min="14145" max="14336" width="13.421875" style="375" customWidth="1"/>
    <col min="14337" max="14337" width="4.28125" style="375" customWidth="1"/>
    <col min="14338" max="14338" width="8.8515625" style="375" customWidth="1"/>
    <col min="14339" max="14339" width="16.7109375" style="375" customWidth="1"/>
    <col min="14340" max="14340" width="1.7109375" style="375" customWidth="1"/>
    <col min="14341" max="14341" width="97.8515625" style="375" customWidth="1"/>
    <col min="14342" max="14342" width="5.00390625" style="375" customWidth="1"/>
    <col min="14343" max="14343" width="15.00390625" style="375" customWidth="1"/>
    <col min="14344" max="14344" width="14.00390625" style="375" customWidth="1"/>
    <col min="14345" max="14347" width="16.7109375" style="375" customWidth="1"/>
    <col min="14348" max="14350" width="13.7109375" style="375" customWidth="1"/>
    <col min="14351" max="14360" width="13.421875" style="375" customWidth="1"/>
    <col min="14361" max="14400" width="13.57421875" style="375" hidden="1" customWidth="1"/>
    <col min="14401" max="14592" width="13.421875" style="375" customWidth="1"/>
    <col min="14593" max="14593" width="4.28125" style="375" customWidth="1"/>
    <col min="14594" max="14594" width="8.8515625" style="375" customWidth="1"/>
    <col min="14595" max="14595" width="16.7109375" style="375" customWidth="1"/>
    <col min="14596" max="14596" width="1.7109375" style="375" customWidth="1"/>
    <col min="14597" max="14597" width="97.8515625" style="375" customWidth="1"/>
    <col min="14598" max="14598" width="5.00390625" style="375" customWidth="1"/>
    <col min="14599" max="14599" width="15.00390625" style="375" customWidth="1"/>
    <col min="14600" max="14600" width="14.00390625" style="375" customWidth="1"/>
    <col min="14601" max="14603" width="16.7109375" style="375" customWidth="1"/>
    <col min="14604" max="14606" width="13.7109375" style="375" customWidth="1"/>
    <col min="14607" max="14616" width="13.421875" style="375" customWidth="1"/>
    <col min="14617" max="14656" width="13.57421875" style="375" hidden="1" customWidth="1"/>
    <col min="14657" max="14848" width="13.421875" style="375" customWidth="1"/>
    <col min="14849" max="14849" width="4.28125" style="375" customWidth="1"/>
    <col min="14850" max="14850" width="8.8515625" style="375" customWidth="1"/>
    <col min="14851" max="14851" width="16.7109375" style="375" customWidth="1"/>
    <col min="14852" max="14852" width="1.7109375" style="375" customWidth="1"/>
    <col min="14853" max="14853" width="97.8515625" style="375" customWidth="1"/>
    <col min="14854" max="14854" width="5.00390625" style="375" customWidth="1"/>
    <col min="14855" max="14855" width="15.00390625" style="375" customWidth="1"/>
    <col min="14856" max="14856" width="14.00390625" style="375" customWidth="1"/>
    <col min="14857" max="14859" width="16.7109375" style="375" customWidth="1"/>
    <col min="14860" max="14862" width="13.7109375" style="375" customWidth="1"/>
    <col min="14863" max="14872" width="13.421875" style="375" customWidth="1"/>
    <col min="14873" max="14912" width="13.57421875" style="375" hidden="1" customWidth="1"/>
    <col min="14913" max="15104" width="13.421875" style="375" customWidth="1"/>
    <col min="15105" max="15105" width="4.28125" style="375" customWidth="1"/>
    <col min="15106" max="15106" width="8.8515625" style="375" customWidth="1"/>
    <col min="15107" max="15107" width="16.7109375" style="375" customWidth="1"/>
    <col min="15108" max="15108" width="1.7109375" style="375" customWidth="1"/>
    <col min="15109" max="15109" width="97.8515625" style="375" customWidth="1"/>
    <col min="15110" max="15110" width="5.00390625" style="375" customWidth="1"/>
    <col min="15111" max="15111" width="15.00390625" style="375" customWidth="1"/>
    <col min="15112" max="15112" width="14.00390625" style="375" customWidth="1"/>
    <col min="15113" max="15115" width="16.7109375" style="375" customWidth="1"/>
    <col min="15116" max="15118" width="13.7109375" style="375" customWidth="1"/>
    <col min="15119" max="15128" width="13.421875" style="375" customWidth="1"/>
    <col min="15129" max="15168" width="13.57421875" style="375" hidden="1" customWidth="1"/>
    <col min="15169" max="15360" width="13.421875" style="375" customWidth="1"/>
    <col min="15361" max="15361" width="4.28125" style="375" customWidth="1"/>
    <col min="15362" max="15362" width="8.8515625" style="375" customWidth="1"/>
    <col min="15363" max="15363" width="16.7109375" style="375" customWidth="1"/>
    <col min="15364" max="15364" width="1.7109375" style="375" customWidth="1"/>
    <col min="15365" max="15365" width="97.8515625" style="375" customWidth="1"/>
    <col min="15366" max="15366" width="5.00390625" style="375" customWidth="1"/>
    <col min="15367" max="15367" width="15.00390625" style="375" customWidth="1"/>
    <col min="15368" max="15368" width="14.00390625" style="375" customWidth="1"/>
    <col min="15369" max="15371" width="16.7109375" style="375" customWidth="1"/>
    <col min="15372" max="15374" width="13.7109375" style="375" customWidth="1"/>
    <col min="15375" max="15384" width="13.421875" style="375" customWidth="1"/>
    <col min="15385" max="15424" width="13.57421875" style="375" hidden="1" customWidth="1"/>
    <col min="15425" max="15616" width="13.421875" style="375" customWidth="1"/>
    <col min="15617" max="15617" width="4.28125" style="375" customWidth="1"/>
    <col min="15618" max="15618" width="8.8515625" style="375" customWidth="1"/>
    <col min="15619" max="15619" width="16.7109375" style="375" customWidth="1"/>
    <col min="15620" max="15620" width="1.7109375" style="375" customWidth="1"/>
    <col min="15621" max="15621" width="97.8515625" style="375" customWidth="1"/>
    <col min="15622" max="15622" width="5.00390625" style="375" customWidth="1"/>
    <col min="15623" max="15623" width="15.00390625" style="375" customWidth="1"/>
    <col min="15624" max="15624" width="14.00390625" style="375" customWidth="1"/>
    <col min="15625" max="15627" width="16.7109375" style="375" customWidth="1"/>
    <col min="15628" max="15630" width="13.7109375" style="375" customWidth="1"/>
    <col min="15631" max="15640" width="13.421875" style="375" customWidth="1"/>
    <col min="15641" max="15680" width="13.57421875" style="375" hidden="1" customWidth="1"/>
    <col min="15681" max="15872" width="13.421875" style="375" customWidth="1"/>
    <col min="15873" max="15873" width="4.28125" style="375" customWidth="1"/>
    <col min="15874" max="15874" width="8.8515625" style="375" customWidth="1"/>
    <col min="15875" max="15875" width="16.7109375" style="375" customWidth="1"/>
    <col min="15876" max="15876" width="1.7109375" style="375" customWidth="1"/>
    <col min="15877" max="15877" width="97.8515625" style="375" customWidth="1"/>
    <col min="15878" max="15878" width="5.00390625" style="375" customWidth="1"/>
    <col min="15879" max="15879" width="15.00390625" style="375" customWidth="1"/>
    <col min="15880" max="15880" width="14.00390625" style="375" customWidth="1"/>
    <col min="15881" max="15883" width="16.7109375" style="375" customWidth="1"/>
    <col min="15884" max="15886" width="13.7109375" style="375" customWidth="1"/>
    <col min="15887" max="15896" width="13.421875" style="375" customWidth="1"/>
    <col min="15897" max="15936" width="13.57421875" style="375" hidden="1" customWidth="1"/>
    <col min="15937" max="16128" width="13.421875" style="375" customWidth="1"/>
    <col min="16129" max="16129" width="4.28125" style="375" customWidth="1"/>
    <col min="16130" max="16130" width="8.8515625" style="375" customWidth="1"/>
    <col min="16131" max="16131" width="16.7109375" style="375" customWidth="1"/>
    <col min="16132" max="16132" width="1.7109375" style="375" customWidth="1"/>
    <col min="16133" max="16133" width="97.8515625" style="375" customWidth="1"/>
    <col min="16134" max="16134" width="5.00390625" style="375" customWidth="1"/>
    <col min="16135" max="16135" width="15.00390625" style="375" customWidth="1"/>
    <col min="16136" max="16136" width="14.00390625" style="375" customWidth="1"/>
    <col min="16137" max="16139" width="16.7109375" style="375" customWidth="1"/>
    <col min="16140" max="16142" width="13.7109375" style="375" customWidth="1"/>
    <col min="16143" max="16152" width="13.421875" style="375" customWidth="1"/>
    <col min="16153" max="16192" width="13.57421875" style="375" hidden="1" customWidth="1"/>
    <col min="16193" max="16384" width="13.421875" style="375" customWidth="1"/>
  </cols>
  <sheetData>
    <row r="1" spans="1:14" ht="72.95" customHeight="1">
      <c r="A1" s="373" t="s">
        <v>4653</v>
      </c>
      <c r="B1" s="374"/>
      <c r="C1" s="374"/>
      <c r="D1" s="374"/>
      <c r="E1" s="374"/>
      <c r="F1" s="374"/>
      <c r="G1" s="374"/>
      <c r="H1" s="374"/>
      <c r="I1" s="374"/>
      <c r="J1" s="374"/>
      <c r="K1" s="374"/>
      <c r="L1" s="374"/>
      <c r="M1" s="374"/>
      <c r="N1" s="374"/>
    </row>
    <row r="2" spans="1:15" ht="12">
      <c r="A2" s="376" t="s">
        <v>4654</v>
      </c>
      <c r="B2" s="377"/>
      <c r="C2" s="377"/>
      <c r="D2" s="378" t="s">
        <v>4846</v>
      </c>
      <c r="E2" s="379"/>
      <c r="F2" s="380" t="s">
        <v>4656</v>
      </c>
      <c r="G2" s="377"/>
      <c r="H2" s="380" t="s">
        <v>4598</v>
      </c>
      <c r="I2" s="381" t="s">
        <v>4657</v>
      </c>
      <c r="J2" s="381" t="s">
        <v>4658</v>
      </c>
      <c r="K2" s="377"/>
      <c r="L2" s="377"/>
      <c r="M2" s="377"/>
      <c r="N2" s="382"/>
      <c r="O2" s="383"/>
    </row>
    <row r="3" spans="1:15" ht="12">
      <c r="A3" s="384"/>
      <c r="B3" s="385"/>
      <c r="C3" s="385"/>
      <c r="D3" s="386"/>
      <c r="E3" s="386"/>
      <c r="F3" s="385"/>
      <c r="G3" s="385"/>
      <c r="H3" s="385"/>
      <c r="I3" s="385"/>
      <c r="J3" s="385"/>
      <c r="K3" s="385"/>
      <c r="L3" s="385"/>
      <c r="M3" s="385"/>
      <c r="N3" s="387"/>
      <c r="O3" s="383"/>
    </row>
    <row r="4" spans="1:15" ht="12">
      <c r="A4" s="388" t="s">
        <v>4659</v>
      </c>
      <c r="B4" s="385"/>
      <c r="C4" s="385"/>
      <c r="D4" s="389" t="s">
        <v>4847</v>
      </c>
      <c r="E4" s="385"/>
      <c r="F4" s="390" t="s">
        <v>4661</v>
      </c>
      <c r="G4" s="385"/>
      <c r="H4" s="390" t="s">
        <v>4598</v>
      </c>
      <c r="I4" s="389" t="s">
        <v>32</v>
      </c>
      <c r="J4" s="389" t="s">
        <v>4662</v>
      </c>
      <c r="K4" s="385"/>
      <c r="L4" s="385"/>
      <c r="M4" s="385"/>
      <c r="N4" s="387"/>
      <c r="O4" s="383"/>
    </row>
    <row r="5" spans="1:15" ht="12">
      <c r="A5" s="384"/>
      <c r="B5" s="385"/>
      <c r="C5" s="385"/>
      <c r="D5" s="385"/>
      <c r="E5" s="385"/>
      <c r="F5" s="385"/>
      <c r="G5" s="385"/>
      <c r="H5" s="385"/>
      <c r="I5" s="385"/>
      <c r="J5" s="385"/>
      <c r="K5" s="385"/>
      <c r="L5" s="385"/>
      <c r="M5" s="385"/>
      <c r="N5" s="387"/>
      <c r="O5" s="383"/>
    </row>
    <row r="6" spans="1:15" ht="12">
      <c r="A6" s="388" t="s">
        <v>4663</v>
      </c>
      <c r="B6" s="385"/>
      <c r="C6" s="385"/>
      <c r="D6" s="389" t="s">
        <v>4664</v>
      </c>
      <c r="E6" s="385"/>
      <c r="F6" s="390" t="s">
        <v>4665</v>
      </c>
      <c r="G6" s="385"/>
      <c r="H6" s="390" t="s">
        <v>4598</v>
      </c>
      <c r="I6" s="389" t="s">
        <v>4666</v>
      </c>
      <c r="J6" s="390" t="s">
        <v>4667</v>
      </c>
      <c r="K6" s="385"/>
      <c r="L6" s="385"/>
      <c r="M6" s="385"/>
      <c r="N6" s="387"/>
      <c r="O6" s="383"/>
    </row>
    <row r="7" spans="1:15" ht="12">
      <c r="A7" s="384"/>
      <c r="B7" s="385"/>
      <c r="C7" s="385"/>
      <c r="D7" s="385"/>
      <c r="E7" s="385"/>
      <c r="F7" s="385"/>
      <c r="G7" s="385"/>
      <c r="H7" s="385"/>
      <c r="I7" s="385"/>
      <c r="J7" s="385"/>
      <c r="K7" s="385"/>
      <c r="L7" s="385"/>
      <c r="M7" s="385"/>
      <c r="N7" s="387"/>
      <c r="O7" s="383"/>
    </row>
    <row r="8" spans="1:15" ht="12">
      <c r="A8" s="388" t="s">
        <v>4668</v>
      </c>
      <c r="B8" s="385"/>
      <c r="C8" s="385"/>
      <c r="D8" s="389" t="s">
        <v>4598</v>
      </c>
      <c r="E8" s="385"/>
      <c r="F8" s="390" t="s">
        <v>4669</v>
      </c>
      <c r="G8" s="385"/>
      <c r="H8" s="390" t="s">
        <v>4848</v>
      </c>
      <c r="I8" s="389" t="s">
        <v>4671</v>
      </c>
      <c r="J8" s="389" t="s">
        <v>4662</v>
      </c>
      <c r="K8" s="385"/>
      <c r="L8" s="385"/>
      <c r="M8" s="385"/>
      <c r="N8" s="387"/>
      <c r="O8" s="383"/>
    </row>
    <row r="9" spans="1:15" ht="13.5" thickBot="1">
      <c r="A9" s="391"/>
      <c r="B9" s="392"/>
      <c r="C9" s="392"/>
      <c r="D9" s="392"/>
      <c r="E9" s="392"/>
      <c r="F9" s="392"/>
      <c r="G9" s="392"/>
      <c r="H9" s="392"/>
      <c r="I9" s="392"/>
      <c r="J9" s="392"/>
      <c r="K9" s="392"/>
      <c r="L9" s="392"/>
      <c r="M9" s="392"/>
      <c r="N9" s="393"/>
      <c r="O9" s="383"/>
    </row>
    <row r="10" spans="1:64" ht="12">
      <c r="A10" s="394" t="s">
        <v>4672</v>
      </c>
      <c r="B10" s="395" t="s">
        <v>4457</v>
      </c>
      <c r="C10" s="395" t="s">
        <v>58</v>
      </c>
      <c r="D10" s="396" t="s">
        <v>4673</v>
      </c>
      <c r="E10" s="397"/>
      <c r="F10" s="395" t="s">
        <v>164</v>
      </c>
      <c r="G10" s="398" t="s">
        <v>165</v>
      </c>
      <c r="H10" s="399" t="s">
        <v>4674</v>
      </c>
      <c r="I10" s="400" t="s">
        <v>4675</v>
      </c>
      <c r="J10" s="401"/>
      <c r="K10" s="402"/>
      <c r="L10" s="400" t="s">
        <v>4676</v>
      </c>
      <c r="M10" s="402"/>
      <c r="N10" s="403" t="s">
        <v>4677</v>
      </c>
      <c r="O10" s="404"/>
      <c r="BK10" s="405" t="s">
        <v>4678</v>
      </c>
      <c r="BL10" s="406" t="s">
        <v>4679</v>
      </c>
    </row>
    <row r="11" spans="1:62" ht="13.5" thickBot="1">
      <c r="A11" s="407" t="s">
        <v>4598</v>
      </c>
      <c r="B11" s="408" t="s">
        <v>4598</v>
      </c>
      <c r="C11" s="408" t="s">
        <v>4598</v>
      </c>
      <c r="D11" s="409" t="s">
        <v>4680</v>
      </c>
      <c r="E11" s="410"/>
      <c r="F11" s="408" t="s">
        <v>4598</v>
      </c>
      <c r="G11" s="408" t="s">
        <v>4598</v>
      </c>
      <c r="H11" s="411" t="s">
        <v>4681</v>
      </c>
      <c r="I11" s="412" t="s">
        <v>4682</v>
      </c>
      <c r="J11" s="413" t="s">
        <v>4683</v>
      </c>
      <c r="K11" s="414" t="s">
        <v>4684</v>
      </c>
      <c r="L11" s="412" t="s">
        <v>4685</v>
      </c>
      <c r="M11" s="414" t="s">
        <v>4684</v>
      </c>
      <c r="N11" s="415" t="s">
        <v>4686</v>
      </c>
      <c r="O11" s="404"/>
      <c r="Z11" s="405" t="s">
        <v>4687</v>
      </c>
      <c r="AA11" s="405" t="s">
        <v>4688</v>
      </c>
      <c r="AB11" s="405" t="s">
        <v>4689</v>
      </c>
      <c r="AC11" s="405" t="s">
        <v>4690</v>
      </c>
      <c r="AD11" s="405" t="s">
        <v>4691</v>
      </c>
      <c r="AE11" s="405" t="s">
        <v>4692</v>
      </c>
      <c r="AF11" s="405" t="s">
        <v>4693</v>
      </c>
      <c r="AG11" s="405" t="s">
        <v>4694</v>
      </c>
      <c r="AH11" s="405" t="s">
        <v>4695</v>
      </c>
      <c r="BH11" s="405" t="s">
        <v>4696</v>
      </c>
      <c r="BI11" s="405" t="s">
        <v>4697</v>
      </c>
      <c r="BJ11" s="405" t="s">
        <v>4698</v>
      </c>
    </row>
    <row r="12" spans="1:47" ht="12">
      <c r="A12" s="416"/>
      <c r="B12" s="417"/>
      <c r="C12" s="417" t="s">
        <v>769</v>
      </c>
      <c r="D12" s="418" t="s">
        <v>770</v>
      </c>
      <c r="E12" s="419"/>
      <c r="F12" s="420" t="s">
        <v>4598</v>
      </c>
      <c r="G12" s="420" t="s">
        <v>4598</v>
      </c>
      <c r="H12" s="420" t="s">
        <v>4598</v>
      </c>
      <c r="I12" s="421">
        <f>SUM(I13:I19)</f>
        <v>0</v>
      </c>
      <c r="J12" s="421">
        <f>SUM(J13:J19)</f>
        <v>0</v>
      </c>
      <c r="K12" s="421">
        <f>SUM(K13:K19)</f>
        <v>0</v>
      </c>
      <c r="L12" s="422"/>
      <c r="M12" s="421">
        <f>SUM(M13:M19)</f>
        <v>0.0352794</v>
      </c>
      <c r="N12" s="423"/>
      <c r="O12" s="383"/>
      <c r="AI12" s="405"/>
      <c r="AS12" s="424">
        <f>SUM(AJ13:AJ19)</f>
        <v>0</v>
      </c>
      <c r="AT12" s="424">
        <f>SUM(AK13:AK19)</f>
        <v>0</v>
      </c>
      <c r="AU12" s="424">
        <f>SUM(AL13:AL19)</f>
        <v>0</v>
      </c>
    </row>
    <row r="13" spans="1:64" ht="12">
      <c r="A13" s="425" t="s">
        <v>85</v>
      </c>
      <c r="B13" s="426"/>
      <c r="C13" s="426" t="s">
        <v>4849</v>
      </c>
      <c r="D13" s="427" t="s">
        <v>4850</v>
      </c>
      <c r="E13" s="428"/>
      <c r="F13" s="426" t="s">
        <v>332</v>
      </c>
      <c r="G13" s="429">
        <v>18.14</v>
      </c>
      <c r="H13" s="429"/>
      <c r="I13" s="429">
        <f>G13*AO13</f>
        <v>0</v>
      </c>
      <c r="J13" s="429">
        <f>G13*AP13</f>
        <v>0</v>
      </c>
      <c r="K13" s="429">
        <f>G13*H13</f>
        <v>0</v>
      </c>
      <c r="L13" s="429">
        <v>0.00084</v>
      </c>
      <c r="M13" s="429">
        <f>G13*L13</f>
        <v>0.0152376</v>
      </c>
      <c r="N13" s="430" t="s">
        <v>4702</v>
      </c>
      <c r="O13" s="383"/>
      <c r="Z13" s="431">
        <f>IF(AQ13="5",BJ13,0)</f>
        <v>0</v>
      </c>
      <c r="AB13" s="431">
        <f>IF(AQ13="1",BH13,0)</f>
        <v>0</v>
      </c>
      <c r="AC13" s="431">
        <f>IF(AQ13="1",BI13,0)</f>
        <v>0</v>
      </c>
      <c r="AD13" s="431">
        <f>IF(AQ13="7",BH13,0)</f>
        <v>0</v>
      </c>
      <c r="AE13" s="431">
        <f>IF(AQ13="7",BI13,0)</f>
        <v>0</v>
      </c>
      <c r="AF13" s="431">
        <f>IF(AQ13="2",BH13,0)</f>
        <v>0</v>
      </c>
      <c r="AG13" s="431">
        <f>IF(AQ13="2",BI13,0)</f>
        <v>0</v>
      </c>
      <c r="AH13" s="431">
        <f>IF(AQ13="0",BJ13,0)</f>
        <v>0</v>
      </c>
      <c r="AI13" s="405"/>
      <c r="AJ13" s="429">
        <f>IF(AN13=0,K13,0)</f>
        <v>0</v>
      </c>
      <c r="AK13" s="429">
        <f>IF(AN13=15,K13,0)</f>
        <v>0</v>
      </c>
      <c r="AL13" s="429">
        <f>IF(AN13=21,K13,0)</f>
        <v>0</v>
      </c>
      <c r="AN13" s="431">
        <v>21</v>
      </c>
      <c r="AO13" s="431">
        <f>H13*0.106452258463822</f>
        <v>0</v>
      </c>
      <c r="AP13" s="431">
        <f>H13*(1-0.106452258463822)</f>
        <v>0</v>
      </c>
      <c r="AQ13" s="432" t="s">
        <v>241</v>
      </c>
      <c r="AV13" s="431">
        <f>AW13+AX13</f>
        <v>0</v>
      </c>
      <c r="AW13" s="431">
        <f>G13*AO13</f>
        <v>0</v>
      </c>
      <c r="AX13" s="431">
        <f>G13*AP13</f>
        <v>0</v>
      </c>
      <c r="AY13" s="433" t="s">
        <v>4851</v>
      </c>
      <c r="AZ13" s="433" t="s">
        <v>4852</v>
      </c>
      <c r="BA13" s="405" t="s">
        <v>4705</v>
      </c>
      <c r="BC13" s="431">
        <f>AW13+AX13</f>
        <v>0</v>
      </c>
      <c r="BD13" s="431">
        <f>H13/(100-BE13)*100</f>
        <v>0</v>
      </c>
      <c r="BE13" s="431">
        <v>0</v>
      </c>
      <c r="BF13" s="431">
        <f>M13</f>
        <v>0.0152376</v>
      </c>
      <c r="BH13" s="429">
        <f>G13*AO13</f>
        <v>0</v>
      </c>
      <c r="BI13" s="429">
        <f>G13*AP13</f>
        <v>0</v>
      </c>
      <c r="BJ13" s="429">
        <f>G13*H13</f>
        <v>0</v>
      </c>
      <c r="BK13" s="429" t="s">
        <v>813</v>
      </c>
      <c r="BL13" s="431">
        <v>713</v>
      </c>
    </row>
    <row r="14" spans="1:64" ht="12">
      <c r="A14" s="454" t="s">
        <v>87</v>
      </c>
      <c r="B14" s="455"/>
      <c r="C14" s="455" t="s">
        <v>4853</v>
      </c>
      <c r="D14" s="456" t="s">
        <v>4854</v>
      </c>
      <c r="E14" s="457"/>
      <c r="F14" s="455" t="s">
        <v>476</v>
      </c>
      <c r="G14" s="458">
        <v>3.14</v>
      </c>
      <c r="H14" s="458"/>
      <c r="I14" s="458">
        <f>G14*AO14</f>
        <v>0</v>
      </c>
      <c r="J14" s="458">
        <f>G14*AP14</f>
        <v>0</v>
      </c>
      <c r="K14" s="458">
        <f>G14*H14</f>
        <v>0</v>
      </c>
      <c r="L14" s="458">
        <v>0.00012</v>
      </c>
      <c r="M14" s="458">
        <f>G14*L14</f>
        <v>0.00037680000000000005</v>
      </c>
      <c r="N14" s="459" t="s">
        <v>4702</v>
      </c>
      <c r="O14" s="383"/>
      <c r="Z14" s="431">
        <f>IF(AQ14="5",BJ14,0)</f>
        <v>0</v>
      </c>
      <c r="AB14" s="431">
        <f>IF(AQ14="1",BH14,0)</f>
        <v>0</v>
      </c>
      <c r="AC14" s="431">
        <f>IF(AQ14="1",BI14,0)</f>
        <v>0</v>
      </c>
      <c r="AD14" s="431">
        <f>IF(AQ14="7",BH14,0)</f>
        <v>0</v>
      </c>
      <c r="AE14" s="431">
        <f>IF(AQ14="7",BI14,0)</f>
        <v>0</v>
      </c>
      <c r="AF14" s="431">
        <f>IF(AQ14="2",BH14,0)</f>
        <v>0</v>
      </c>
      <c r="AG14" s="431">
        <f>IF(AQ14="2",BI14,0)</f>
        <v>0</v>
      </c>
      <c r="AH14" s="431">
        <f>IF(AQ14="0",BJ14,0)</f>
        <v>0</v>
      </c>
      <c r="AI14" s="405"/>
      <c r="AJ14" s="458">
        <f>IF(AN14=0,K14,0)</f>
        <v>0</v>
      </c>
      <c r="AK14" s="458">
        <f>IF(AN14=15,K14,0)</f>
        <v>0</v>
      </c>
      <c r="AL14" s="458">
        <f>IF(AN14=21,K14,0)</f>
        <v>0</v>
      </c>
      <c r="AN14" s="431">
        <v>21</v>
      </c>
      <c r="AO14" s="431">
        <f>H14*1</f>
        <v>0</v>
      </c>
      <c r="AP14" s="431">
        <f>H14*(1-1)</f>
        <v>0</v>
      </c>
      <c r="AQ14" s="460" t="s">
        <v>241</v>
      </c>
      <c r="AV14" s="431">
        <f>AW14+AX14</f>
        <v>0</v>
      </c>
      <c r="AW14" s="431">
        <f>G14*AO14</f>
        <v>0</v>
      </c>
      <c r="AX14" s="431">
        <f>G14*AP14</f>
        <v>0</v>
      </c>
      <c r="AY14" s="433" t="s">
        <v>4851</v>
      </c>
      <c r="AZ14" s="433" t="s">
        <v>4852</v>
      </c>
      <c r="BA14" s="405" t="s">
        <v>4705</v>
      </c>
      <c r="BC14" s="431">
        <f>AW14+AX14</f>
        <v>0</v>
      </c>
      <c r="BD14" s="431">
        <f>H14/(100-BE14)*100</f>
        <v>0</v>
      </c>
      <c r="BE14" s="431">
        <v>0</v>
      </c>
      <c r="BF14" s="431">
        <f>M14</f>
        <v>0.00037680000000000005</v>
      </c>
      <c r="BH14" s="458">
        <f>G14*AO14</f>
        <v>0</v>
      </c>
      <c r="BI14" s="458">
        <f>G14*AP14</f>
        <v>0</v>
      </c>
      <c r="BJ14" s="458">
        <f>G14*H14</f>
        <v>0</v>
      </c>
      <c r="BK14" s="458" t="s">
        <v>484</v>
      </c>
      <c r="BL14" s="431">
        <v>713</v>
      </c>
    </row>
    <row r="15" spans="1:64" ht="12">
      <c r="A15" s="454" t="s">
        <v>198</v>
      </c>
      <c r="B15" s="455"/>
      <c r="C15" s="455" t="s">
        <v>4855</v>
      </c>
      <c r="D15" s="456" t="s">
        <v>4856</v>
      </c>
      <c r="E15" s="457"/>
      <c r="F15" s="455" t="s">
        <v>476</v>
      </c>
      <c r="G15" s="458">
        <v>15</v>
      </c>
      <c r="H15" s="458"/>
      <c r="I15" s="458">
        <f>G15*AO15</f>
        <v>0</v>
      </c>
      <c r="J15" s="458">
        <f>G15*AP15</f>
        <v>0</v>
      </c>
      <c r="K15" s="458">
        <f>G15*H15</f>
        <v>0</v>
      </c>
      <c r="L15" s="458">
        <v>9E-05</v>
      </c>
      <c r="M15" s="458">
        <f>G15*L15</f>
        <v>0.00135</v>
      </c>
      <c r="N15" s="459" t="s">
        <v>4702</v>
      </c>
      <c r="O15" s="383"/>
      <c r="Z15" s="431">
        <f>IF(AQ15="5",BJ15,0)</f>
        <v>0</v>
      </c>
      <c r="AB15" s="431">
        <f>IF(AQ15="1",BH15,0)</f>
        <v>0</v>
      </c>
      <c r="AC15" s="431">
        <f>IF(AQ15="1",BI15,0)</f>
        <v>0</v>
      </c>
      <c r="AD15" s="431">
        <f>IF(AQ15="7",BH15,0)</f>
        <v>0</v>
      </c>
      <c r="AE15" s="431">
        <f>IF(AQ15="7",BI15,0)</f>
        <v>0</v>
      </c>
      <c r="AF15" s="431">
        <f>IF(AQ15="2",BH15,0)</f>
        <v>0</v>
      </c>
      <c r="AG15" s="431">
        <f>IF(AQ15="2",BI15,0)</f>
        <v>0</v>
      </c>
      <c r="AH15" s="431">
        <f>IF(AQ15="0",BJ15,0)</f>
        <v>0</v>
      </c>
      <c r="AI15" s="405"/>
      <c r="AJ15" s="458">
        <f>IF(AN15=0,K15,0)</f>
        <v>0</v>
      </c>
      <c r="AK15" s="458">
        <f>IF(AN15=15,K15,0)</f>
        <v>0</v>
      </c>
      <c r="AL15" s="458">
        <f>IF(AN15=21,K15,0)</f>
        <v>0</v>
      </c>
      <c r="AN15" s="431">
        <v>21</v>
      </c>
      <c r="AO15" s="431">
        <f>H15*1</f>
        <v>0</v>
      </c>
      <c r="AP15" s="431">
        <f>H15*(1-1)</f>
        <v>0</v>
      </c>
      <c r="AQ15" s="460" t="s">
        <v>241</v>
      </c>
      <c r="AV15" s="431">
        <f>AW15+AX15</f>
        <v>0</v>
      </c>
      <c r="AW15" s="431">
        <f>G15*AO15</f>
        <v>0</v>
      </c>
      <c r="AX15" s="431">
        <f>G15*AP15</f>
        <v>0</v>
      </c>
      <c r="AY15" s="433" t="s">
        <v>4851</v>
      </c>
      <c r="AZ15" s="433" t="s">
        <v>4852</v>
      </c>
      <c r="BA15" s="405" t="s">
        <v>4705</v>
      </c>
      <c r="BC15" s="431">
        <f>AW15+AX15</f>
        <v>0</v>
      </c>
      <c r="BD15" s="431">
        <f>H15/(100-BE15)*100</f>
        <v>0</v>
      </c>
      <c r="BE15" s="431">
        <v>0</v>
      </c>
      <c r="BF15" s="431">
        <f>M15</f>
        <v>0.00135</v>
      </c>
      <c r="BH15" s="458">
        <f>G15*AO15</f>
        <v>0</v>
      </c>
      <c r="BI15" s="458">
        <f>G15*AP15</f>
        <v>0</v>
      </c>
      <c r="BJ15" s="458">
        <f>G15*H15</f>
        <v>0</v>
      </c>
      <c r="BK15" s="458" t="s">
        <v>484</v>
      </c>
      <c r="BL15" s="431">
        <v>713</v>
      </c>
    </row>
    <row r="16" spans="1:64" ht="12">
      <c r="A16" s="425" t="s">
        <v>185</v>
      </c>
      <c r="B16" s="426"/>
      <c r="C16" s="426" t="s">
        <v>4857</v>
      </c>
      <c r="D16" s="427" t="s">
        <v>4858</v>
      </c>
      <c r="E16" s="428"/>
      <c r="F16" s="426" t="s">
        <v>332</v>
      </c>
      <c r="G16" s="429">
        <v>1.5</v>
      </c>
      <c r="H16" s="429"/>
      <c r="I16" s="429">
        <f>G16*AO16</f>
        <v>0</v>
      </c>
      <c r="J16" s="429">
        <f>G16*AP16</f>
        <v>0</v>
      </c>
      <c r="K16" s="429">
        <f>G16*H16</f>
        <v>0</v>
      </c>
      <c r="L16" s="429">
        <v>0.00011</v>
      </c>
      <c r="M16" s="429">
        <f>G16*L16</f>
        <v>0.000165</v>
      </c>
      <c r="N16" s="430" t="s">
        <v>4702</v>
      </c>
      <c r="O16" s="383"/>
      <c r="Z16" s="431">
        <f>IF(AQ16="5",BJ16,0)</f>
        <v>0</v>
      </c>
      <c r="AB16" s="431">
        <f>IF(AQ16="1",BH16,0)</f>
        <v>0</v>
      </c>
      <c r="AC16" s="431">
        <f>IF(AQ16="1",BI16,0)</f>
        <v>0</v>
      </c>
      <c r="AD16" s="431">
        <f>IF(AQ16="7",BH16,0)</f>
        <v>0</v>
      </c>
      <c r="AE16" s="431">
        <f>IF(AQ16="7",BI16,0)</f>
        <v>0</v>
      </c>
      <c r="AF16" s="431">
        <f>IF(AQ16="2",BH16,0)</f>
        <v>0</v>
      </c>
      <c r="AG16" s="431">
        <f>IF(AQ16="2",BI16,0)</f>
        <v>0</v>
      </c>
      <c r="AH16" s="431">
        <f>IF(AQ16="0",BJ16,0)</f>
        <v>0</v>
      </c>
      <c r="AI16" s="405"/>
      <c r="AJ16" s="429">
        <f>IF(AN16=0,K16,0)</f>
        <v>0</v>
      </c>
      <c r="AK16" s="429">
        <f>IF(AN16=15,K16,0)</f>
        <v>0</v>
      </c>
      <c r="AL16" s="429">
        <f>IF(AN16=21,K16,0)</f>
        <v>0</v>
      </c>
      <c r="AN16" s="431">
        <v>21</v>
      </c>
      <c r="AO16" s="431">
        <f>H16*0.0440493827160494</f>
        <v>0</v>
      </c>
      <c r="AP16" s="431">
        <f>H16*(1-0.0440493827160494)</f>
        <v>0</v>
      </c>
      <c r="AQ16" s="432" t="s">
        <v>241</v>
      </c>
      <c r="AV16" s="431">
        <f>AW16+AX16</f>
        <v>0</v>
      </c>
      <c r="AW16" s="431">
        <f>G16*AO16</f>
        <v>0</v>
      </c>
      <c r="AX16" s="431">
        <f>G16*AP16</f>
        <v>0</v>
      </c>
      <c r="AY16" s="433" t="s">
        <v>4851</v>
      </c>
      <c r="AZ16" s="433" t="s">
        <v>4852</v>
      </c>
      <c r="BA16" s="405" t="s">
        <v>4705</v>
      </c>
      <c r="BC16" s="431">
        <f>AW16+AX16</f>
        <v>0</v>
      </c>
      <c r="BD16" s="431">
        <f>H16/(100-BE16)*100</f>
        <v>0</v>
      </c>
      <c r="BE16" s="431">
        <v>0</v>
      </c>
      <c r="BF16" s="431">
        <f>M16</f>
        <v>0.000165</v>
      </c>
      <c r="BH16" s="429">
        <f>G16*AO16</f>
        <v>0</v>
      </c>
      <c r="BI16" s="429">
        <f>G16*AP16</f>
        <v>0</v>
      </c>
      <c r="BJ16" s="429">
        <f>G16*H16</f>
        <v>0</v>
      </c>
      <c r="BK16" s="429" t="s">
        <v>813</v>
      </c>
      <c r="BL16" s="431">
        <v>713</v>
      </c>
    </row>
    <row r="17" spans="1:15" ht="12">
      <c r="A17" s="383"/>
      <c r="C17" s="434" t="s">
        <v>4706</v>
      </c>
      <c r="D17" s="435" t="s">
        <v>4859</v>
      </c>
      <c r="E17" s="436"/>
      <c r="F17" s="436"/>
      <c r="G17" s="436"/>
      <c r="H17" s="436"/>
      <c r="I17" s="436"/>
      <c r="J17" s="436"/>
      <c r="K17" s="436"/>
      <c r="L17" s="436"/>
      <c r="M17" s="436"/>
      <c r="N17" s="437"/>
      <c r="O17" s="383"/>
    </row>
    <row r="18" spans="1:64" ht="12">
      <c r="A18" s="454" t="s">
        <v>200</v>
      </c>
      <c r="B18" s="455"/>
      <c r="C18" s="455" t="s">
        <v>4860</v>
      </c>
      <c r="D18" s="456" t="s">
        <v>4861</v>
      </c>
      <c r="E18" s="457"/>
      <c r="F18" s="455" t="s">
        <v>476</v>
      </c>
      <c r="G18" s="458">
        <v>1.5</v>
      </c>
      <c r="H18" s="458"/>
      <c r="I18" s="458">
        <f>G18*AO18</f>
        <v>0</v>
      </c>
      <c r="J18" s="458">
        <f>G18*AP18</f>
        <v>0</v>
      </c>
      <c r="K18" s="458">
        <f>G18*H18</f>
        <v>0</v>
      </c>
      <c r="L18" s="458">
        <v>0.0121</v>
      </c>
      <c r="M18" s="458">
        <f>G18*L18</f>
        <v>0.01815</v>
      </c>
      <c r="N18" s="459" t="s">
        <v>4702</v>
      </c>
      <c r="O18" s="383"/>
      <c r="Z18" s="431">
        <f>IF(AQ18="5",BJ18,0)</f>
        <v>0</v>
      </c>
      <c r="AB18" s="431">
        <f>IF(AQ18="1",BH18,0)</f>
        <v>0</v>
      </c>
      <c r="AC18" s="431">
        <f>IF(AQ18="1",BI18,0)</f>
        <v>0</v>
      </c>
      <c r="AD18" s="431">
        <f>IF(AQ18="7",BH18,0)</f>
        <v>0</v>
      </c>
      <c r="AE18" s="431">
        <f>IF(AQ18="7",BI18,0)</f>
        <v>0</v>
      </c>
      <c r="AF18" s="431">
        <f>IF(AQ18="2",BH18,0)</f>
        <v>0</v>
      </c>
      <c r="AG18" s="431">
        <f>IF(AQ18="2",BI18,0)</f>
        <v>0</v>
      </c>
      <c r="AH18" s="431">
        <f>IF(AQ18="0",BJ18,0)</f>
        <v>0</v>
      </c>
      <c r="AI18" s="405"/>
      <c r="AJ18" s="458">
        <f>IF(AN18=0,K18,0)</f>
        <v>0</v>
      </c>
      <c r="AK18" s="458">
        <f>IF(AN18=15,K18,0)</f>
        <v>0</v>
      </c>
      <c r="AL18" s="458">
        <f>IF(AN18=21,K18,0)</f>
        <v>0</v>
      </c>
      <c r="AN18" s="431">
        <v>21</v>
      </c>
      <c r="AO18" s="431">
        <f>H18*1</f>
        <v>0</v>
      </c>
      <c r="AP18" s="431">
        <f>H18*(1-1)</f>
        <v>0</v>
      </c>
      <c r="AQ18" s="460" t="s">
        <v>241</v>
      </c>
      <c r="AV18" s="431">
        <f>AW18+AX18</f>
        <v>0</v>
      </c>
      <c r="AW18" s="431">
        <f>G18*AO18</f>
        <v>0</v>
      </c>
      <c r="AX18" s="431">
        <f>G18*AP18</f>
        <v>0</v>
      </c>
      <c r="AY18" s="433" t="s">
        <v>4851</v>
      </c>
      <c r="AZ18" s="433" t="s">
        <v>4852</v>
      </c>
      <c r="BA18" s="405" t="s">
        <v>4705</v>
      </c>
      <c r="BC18" s="431">
        <f>AW18+AX18</f>
        <v>0</v>
      </c>
      <c r="BD18" s="431">
        <f>H18/(100-BE18)*100</f>
        <v>0</v>
      </c>
      <c r="BE18" s="431">
        <v>0</v>
      </c>
      <c r="BF18" s="431">
        <f>M18</f>
        <v>0.01815</v>
      </c>
      <c r="BH18" s="458">
        <f>G18*AO18</f>
        <v>0</v>
      </c>
      <c r="BI18" s="458">
        <f>G18*AP18</f>
        <v>0</v>
      </c>
      <c r="BJ18" s="458">
        <f>G18*H18</f>
        <v>0</v>
      </c>
      <c r="BK18" s="458" t="s">
        <v>484</v>
      </c>
      <c r="BL18" s="431">
        <v>713</v>
      </c>
    </row>
    <row r="19" spans="1:64" ht="12">
      <c r="A19" s="425" t="s">
        <v>233</v>
      </c>
      <c r="B19" s="426"/>
      <c r="C19" s="426" t="s">
        <v>4862</v>
      </c>
      <c r="D19" s="427" t="s">
        <v>4863</v>
      </c>
      <c r="E19" s="428"/>
      <c r="F19" s="426" t="s">
        <v>183</v>
      </c>
      <c r="G19" s="429">
        <v>0.03528</v>
      </c>
      <c r="H19" s="429"/>
      <c r="I19" s="429">
        <f>G19*AO19</f>
        <v>0</v>
      </c>
      <c r="J19" s="429">
        <f>G19*AP19</f>
        <v>0</v>
      </c>
      <c r="K19" s="429">
        <f>G19*H19</f>
        <v>0</v>
      </c>
      <c r="L19" s="429">
        <v>0</v>
      </c>
      <c r="M19" s="429">
        <f>G19*L19</f>
        <v>0</v>
      </c>
      <c r="N19" s="430" t="s">
        <v>4702</v>
      </c>
      <c r="O19" s="383"/>
      <c r="Z19" s="431">
        <f>IF(AQ19="5",BJ19,0)</f>
        <v>0</v>
      </c>
      <c r="AB19" s="431">
        <f>IF(AQ19="1",BH19,0)</f>
        <v>0</v>
      </c>
      <c r="AC19" s="431">
        <f>IF(AQ19="1",BI19,0)</f>
        <v>0</v>
      </c>
      <c r="AD19" s="431">
        <f>IF(AQ19="7",BH19,0)</f>
        <v>0</v>
      </c>
      <c r="AE19" s="431">
        <f>IF(AQ19="7",BI19,0)</f>
        <v>0</v>
      </c>
      <c r="AF19" s="431">
        <f>IF(AQ19="2",BH19,0)</f>
        <v>0</v>
      </c>
      <c r="AG19" s="431">
        <f>IF(AQ19="2",BI19,0)</f>
        <v>0</v>
      </c>
      <c r="AH19" s="431">
        <f>IF(AQ19="0",BJ19,0)</f>
        <v>0</v>
      </c>
      <c r="AI19" s="405"/>
      <c r="AJ19" s="429">
        <f>IF(AN19=0,K19,0)</f>
        <v>0</v>
      </c>
      <c r="AK19" s="429">
        <f>IF(AN19=15,K19,0)</f>
        <v>0</v>
      </c>
      <c r="AL19" s="429">
        <f>IF(AN19=21,K19,0)</f>
        <v>0</v>
      </c>
      <c r="AN19" s="431">
        <v>21</v>
      </c>
      <c r="AO19" s="431">
        <f>H19*0</f>
        <v>0</v>
      </c>
      <c r="AP19" s="431">
        <f>H19*(1-0)</f>
        <v>0</v>
      </c>
      <c r="AQ19" s="432" t="s">
        <v>200</v>
      </c>
      <c r="AV19" s="431">
        <f>AW19+AX19</f>
        <v>0</v>
      </c>
      <c r="AW19" s="431">
        <f>G19*AO19</f>
        <v>0</v>
      </c>
      <c r="AX19" s="431">
        <f>G19*AP19</f>
        <v>0</v>
      </c>
      <c r="AY19" s="433" t="s">
        <v>4851</v>
      </c>
      <c r="AZ19" s="433" t="s">
        <v>4852</v>
      </c>
      <c r="BA19" s="405" t="s">
        <v>4705</v>
      </c>
      <c r="BC19" s="431">
        <f>AW19+AX19</f>
        <v>0</v>
      </c>
      <c r="BD19" s="431">
        <f>H19/(100-BE19)*100</f>
        <v>0</v>
      </c>
      <c r="BE19" s="431">
        <v>0</v>
      </c>
      <c r="BF19" s="431">
        <f>M19</f>
        <v>0</v>
      </c>
      <c r="BH19" s="429">
        <f>G19*AO19</f>
        <v>0</v>
      </c>
      <c r="BI19" s="429">
        <f>G19*AP19</f>
        <v>0</v>
      </c>
      <c r="BJ19" s="429">
        <f>G19*H19</f>
        <v>0</v>
      </c>
      <c r="BK19" s="429" t="s">
        <v>813</v>
      </c>
      <c r="BL19" s="431">
        <v>713</v>
      </c>
    </row>
    <row r="20" spans="1:47" ht="12">
      <c r="A20" s="438"/>
      <c r="B20" s="439"/>
      <c r="C20" s="439" t="s">
        <v>4864</v>
      </c>
      <c r="D20" s="440" t="s">
        <v>301</v>
      </c>
      <c r="E20" s="441"/>
      <c r="F20" s="442" t="s">
        <v>4598</v>
      </c>
      <c r="G20" s="442" t="s">
        <v>4598</v>
      </c>
      <c r="H20" s="442"/>
      <c r="I20" s="424">
        <f>SUM(I21:I85)</f>
        <v>0</v>
      </c>
      <c r="J20" s="424">
        <f>SUM(J21:J85)</f>
        <v>0</v>
      </c>
      <c r="K20" s="424">
        <f>SUM(K21:K85)</f>
        <v>0</v>
      </c>
      <c r="L20" s="405"/>
      <c r="M20" s="424">
        <f>SUM(M21:M85)</f>
        <v>0.5166100000000001</v>
      </c>
      <c r="N20" s="443"/>
      <c r="O20" s="383"/>
      <c r="AI20" s="405"/>
      <c r="AS20" s="424">
        <f>SUM(AJ21:AJ85)</f>
        <v>0</v>
      </c>
      <c r="AT20" s="424">
        <f>SUM(AK21:AK85)</f>
        <v>0</v>
      </c>
      <c r="AU20" s="424">
        <f>SUM(AL21:AL85)</f>
        <v>0</v>
      </c>
    </row>
    <row r="21" spans="1:64" ht="12">
      <c r="A21" s="425" t="s">
        <v>241</v>
      </c>
      <c r="B21" s="426"/>
      <c r="C21" s="426" t="s">
        <v>4865</v>
      </c>
      <c r="D21" s="427" t="s">
        <v>4866</v>
      </c>
      <c r="E21" s="428"/>
      <c r="F21" s="426" t="s">
        <v>236</v>
      </c>
      <c r="G21" s="429">
        <v>1</v>
      </c>
      <c r="H21" s="429"/>
      <c r="I21" s="429">
        <f aca="true" t="shared" si="0" ref="I21:I35">G21*AO21</f>
        <v>0</v>
      </c>
      <c r="J21" s="429">
        <f aca="true" t="shared" si="1" ref="J21:J35">G21*AP21</f>
        <v>0</v>
      </c>
      <c r="K21" s="429">
        <f aca="true" t="shared" si="2" ref="K21:K35">G21*H21</f>
        <v>0</v>
      </c>
      <c r="L21" s="429">
        <v>0</v>
      </c>
      <c r="M21" s="429">
        <f aca="true" t="shared" si="3" ref="M21:M35">G21*L21</f>
        <v>0</v>
      </c>
      <c r="N21" s="430" t="s">
        <v>4702</v>
      </c>
      <c r="O21" s="383"/>
      <c r="Z21" s="431">
        <f aca="true" t="shared" si="4" ref="Z21:Z35">IF(AQ21="5",BJ21,0)</f>
        <v>0</v>
      </c>
      <c r="AB21" s="431">
        <f aca="true" t="shared" si="5" ref="AB21:AB35">IF(AQ21="1",BH21,0)</f>
        <v>0</v>
      </c>
      <c r="AC21" s="431">
        <f aca="true" t="shared" si="6" ref="AC21:AC35">IF(AQ21="1",BI21,0)</f>
        <v>0</v>
      </c>
      <c r="AD21" s="431">
        <f aca="true" t="shared" si="7" ref="AD21:AD35">IF(AQ21="7",BH21,0)</f>
        <v>0</v>
      </c>
      <c r="AE21" s="431">
        <f aca="true" t="shared" si="8" ref="AE21:AE35">IF(AQ21="7",BI21,0)</f>
        <v>0</v>
      </c>
      <c r="AF21" s="431">
        <f aca="true" t="shared" si="9" ref="AF21:AF35">IF(AQ21="2",BH21,0)</f>
        <v>0</v>
      </c>
      <c r="AG21" s="431">
        <f aca="true" t="shared" si="10" ref="AG21:AG35">IF(AQ21="2",BI21,0)</f>
        <v>0</v>
      </c>
      <c r="AH21" s="431">
        <f aca="true" t="shared" si="11" ref="AH21:AH35">IF(AQ21="0",BJ21,0)</f>
        <v>0</v>
      </c>
      <c r="AI21" s="405"/>
      <c r="AJ21" s="429">
        <f aca="true" t="shared" si="12" ref="AJ21:AJ35">IF(AN21=0,K21,0)</f>
        <v>0</v>
      </c>
      <c r="AK21" s="429">
        <f aca="true" t="shared" si="13" ref="AK21:AK35">IF(AN21=15,K21,0)</f>
        <v>0</v>
      </c>
      <c r="AL21" s="429">
        <f aca="true" t="shared" si="14" ref="AL21:AL35">IF(AN21=21,K21,0)</f>
        <v>0</v>
      </c>
      <c r="AN21" s="431">
        <v>21</v>
      </c>
      <c r="AO21" s="431">
        <f>H21*0</f>
        <v>0</v>
      </c>
      <c r="AP21" s="431">
        <f>H21*(1-0)</f>
        <v>0</v>
      </c>
      <c r="AQ21" s="432" t="s">
        <v>241</v>
      </c>
      <c r="AV21" s="431">
        <f aca="true" t="shared" si="15" ref="AV21:AV35">AW21+AX21</f>
        <v>0</v>
      </c>
      <c r="AW21" s="431">
        <f aca="true" t="shared" si="16" ref="AW21:AW35">G21*AO21</f>
        <v>0</v>
      </c>
      <c r="AX21" s="431">
        <f aca="true" t="shared" si="17" ref="AX21:AX35">G21*AP21</f>
        <v>0</v>
      </c>
      <c r="AY21" s="433" t="s">
        <v>4867</v>
      </c>
      <c r="AZ21" s="433" t="s">
        <v>4704</v>
      </c>
      <c r="BA21" s="405" t="s">
        <v>4705</v>
      </c>
      <c r="BC21" s="431">
        <f aca="true" t="shared" si="18" ref="BC21:BC35">AW21+AX21</f>
        <v>0</v>
      </c>
      <c r="BD21" s="431">
        <f aca="true" t="shared" si="19" ref="BD21:BD35">H21/(100-BE21)*100</f>
        <v>0</v>
      </c>
      <c r="BE21" s="431">
        <v>0</v>
      </c>
      <c r="BF21" s="431">
        <f aca="true" t="shared" si="20" ref="BF21:BF35">M21</f>
        <v>0</v>
      </c>
      <c r="BH21" s="429">
        <f aca="true" t="shared" si="21" ref="BH21:BH35">G21*AO21</f>
        <v>0</v>
      </c>
      <c r="BI21" s="429">
        <f aca="true" t="shared" si="22" ref="BI21:BI35">G21*AP21</f>
        <v>0</v>
      </c>
      <c r="BJ21" s="429">
        <f aca="true" t="shared" si="23" ref="BJ21:BJ35">G21*H21</f>
        <v>0</v>
      </c>
      <c r="BK21" s="429" t="s">
        <v>813</v>
      </c>
      <c r="BL21" s="431">
        <v>728</v>
      </c>
    </row>
    <row r="22" spans="1:64" ht="12">
      <c r="A22" s="454" t="s">
        <v>248</v>
      </c>
      <c r="B22" s="455"/>
      <c r="C22" s="455" t="s">
        <v>4868</v>
      </c>
      <c r="D22" s="456" t="s">
        <v>4869</v>
      </c>
      <c r="E22" s="457"/>
      <c r="F22" s="455" t="s">
        <v>236</v>
      </c>
      <c r="G22" s="458">
        <v>1</v>
      </c>
      <c r="H22" s="458"/>
      <c r="I22" s="458">
        <f t="shared" si="0"/>
        <v>0</v>
      </c>
      <c r="J22" s="458">
        <f t="shared" si="1"/>
        <v>0</v>
      </c>
      <c r="K22" s="458">
        <f t="shared" si="2"/>
        <v>0</v>
      </c>
      <c r="L22" s="458">
        <v>0</v>
      </c>
      <c r="M22" s="458">
        <f t="shared" si="3"/>
        <v>0</v>
      </c>
      <c r="N22" s="459" t="s">
        <v>4702</v>
      </c>
      <c r="O22" s="383"/>
      <c r="Z22" s="431">
        <f t="shared" si="4"/>
        <v>0</v>
      </c>
      <c r="AB22" s="431">
        <f t="shared" si="5"/>
        <v>0</v>
      </c>
      <c r="AC22" s="431">
        <f t="shared" si="6"/>
        <v>0</v>
      </c>
      <c r="AD22" s="431">
        <f t="shared" si="7"/>
        <v>0</v>
      </c>
      <c r="AE22" s="431">
        <f t="shared" si="8"/>
        <v>0</v>
      </c>
      <c r="AF22" s="431">
        <f t="shared" si="9"/>
        <v>0</v>
      </c>
      <c r="AG22" s="431">
        <f t="shared" si="10"/>
        <v>0</v>
      </c>
      <c r="AH22" s="431">
        <f t="shared" si="11"/>
        <v>0</v>
      </c>
      <c r="AI22" s="405"/>
      <c r="AJ22" s="458">
        <f t="shared" si="12"/>
        <v>0</v>
      </c>
      <c r="AK22" s="458">
        <f t="shared" si="13"/>
        <v>0</v>
      </c>
      <c r="AL22" s="458">
        <f t="shared" si="14"/>
        <v>0</v>
      </c>
      <c r="AN22" s="431">
        <v>21</v>
      </c>
      <c r="AO22" s="431">
        <f>H22*1</f>
        <v>0</v>
      </c>
      <c r="AP22" s="431">
        <f>H22*(1-1)</f>
        <v>0</v>
      </c>
      <c r="AQ22" s="460" t="s">
        <v>241</v>
      </c>
      <c r="AV22" s="431">
        <f t="shared" si="15"/>
        <v>0</v>
      </c>
      <c r="AW22" s="431">
        <f t="shared" si="16"/>
        <v>0</v>
      </c>
      <c r="AX22" s="431">
        <f t="shared" si="17"/>
        <v>0</v>
      </c>
      <c r="AY22" s="433" t="s">
        <v>4867</v>
      </c>
      <c r="AZ22" s="433" t="s">
        <v>4704</v>
      </c>
      <c r="BA22" s="405" t="s">
        <v>4705</v>
      </c>
      <c r="BC22" s="431">
        <f t="shared" si="18"/>
        <v>0</v>
      </c>
      <c r="BD22" s="431">
        <f t="shared" si="19"/>
        <v>0</v>
      </c>
      <c r="BE22" s="431">
        <v>0</v>
      </c>
      <c r="BF22" s="431">
        <f t="shared" si="20"/>
        <v>0</v>
      </c>
      <c r="BH22" s="458">
        <f t="shared" si="21"/>
        <v>0</v>
      </c>
      <c r="BI22" s="458">
        <f t="shared" si="22"/>
        <v>0</v>
      </c>
      <c r="BJ22" s="458">
        <f t="shared" si="23"/>
        <v>0</v>
      </c>
      <c r="BK22" s="458" t="s">
        <v>484</v>
      </c>
      <c r="BL22" s="431">
        <v>728</v>
      </c>
    </row>
    <row r="23" spans="1:64" ht="12">
      <c r="A23" s="425" t="s">
        <v>252</v>
      </c>
      <c r="B23" s="426"/>
      <c r="C23" s="426" t="s">
        <v>4870</v>
      </c>
      <c r="D23" s="427" t="s">
        <v>4871</v>
      </c>
      <c r="E23" s="428"/>
      <c r="F23" s="426" t="s">
        <v>236</v>
      </c>
      <c r="G23" s="429">
        <v>1</v>
      </c>
      <c r="H23" s="429"/>
      <c r="I23" s="429">
        <f t="shared" si="0"/>
        <v>0</v>
      </c>
      <c r="J23" s="429">
        <f t="shared" si="1"/>
        <v>0</v>
      </c>
      <c r="K23" s="429">
        <f t="shared" si="2"/>
        <v>0</v>
      </c>
      <c r="L23" s="429">
        <v>0</v>
      </c>
      <c r="M23" s="429">
        <f t="shared" si="3"/>
        <v>0</v>
      </c>
      <c r="N23" s="430" t="s">
        <v>4702</v>
      </c>
      <c r="O23" s="383"/>
      <c r="Z23" s="431">
        <f t="shared" si="4"/>
        <v>0</v>
      </c>
      <c r="AB23" s="431">
        <f t="shared" si="5"/>
        <v>0</v>
      </c>
      <c r="AC23" s="431">
        <f t="shared" si="6"/>
        <v>0</v>
      </c>
      <c r="AD23" s="431">
        <f t="shared" si="7"/>
        <v>0</v>
      </c>
      <c r="AE23" s="431">
        <f t="shared" si="8"/>
        <v>0</v>
      </c>
      <c r="AF23" s="431">
        <f t="shared" si="9"/>
        <v>0</v>
      </c>
      <c r="AG23" s="431">
        <f t="shared" si="10"/>
        <v>0</v>
      </c>
      <c r="AH23" s="431">
        <f t="shared" si="11"/>
        <v>0</v>
      </c>
      <c r="AI23" s="405"/>
      <c r="AJ23" s="429">
        <f t="shared" si="12"/>
        <v>0</v>
      </c>
      <c r="AK23" s="429">
        <f t="shared" si="13"/>
        <v>0</v>
      </c>
      <c r="AL23" s="429">
        <f t="shared" si="14"/>
        <v>0</v>
      </c>
      <c r="AN23" s="431">
        <v>21</v>
      </c>
      <c r="AO23" s="431">
        <f>H23*0</f>
        <v>0</v>
      </c>
      <c r="AP23" s="431">
        <f>H23*(1-0)</f>
        <v>0</v>
      </c>
      <c r="AQ23" s="432" t="s">
        <v>241</v>
      </c>
      <c r="AV23" s="431">
        <f t="shared" si="15"/>
        <v>0</v>
      </c>
      <c r="AW23" s="431">
        <f t="shared" si="16"/>
        <v>0</v>
      </c>
      <c r="AX23" s="431">
        <f t="shared" si="17"/>
        <v>0</v>
      </c>
      <c r="AY23" s="433" t="s">
        <v>4867</v>
      </c>
      <c r="AZ23" s="433" t="s">
        <v>4704</v>
      </c>
      <c r="BA23" s="405" t="s">
        <v>4705</v>
      </c>
      <c r="BC23" s="431">
        <f t="shared" si="18"/>
        <v>0</v>
      </c>
      <c r="BD23" s="431">
        <f t="shared" si="19"/>
        <v>0</v>
      </c>
      <c r="BE23" s="431">
        <v>0</v>
      </c>
      <c r="BF23" s="431">
        <f t="shared" si="20"/>
        <v>0</v>
      </c>
      <c r="BH23" s="429">
        <f t="shared" si="21"/>
        <v>0</v>
      </c>
      <c r="BI23" s="429">
        <f t="shared" si="22"/>
        <v>0</v>
      </c>
      <c r="BJ23" s="429">
        <f t="shared" si="23"/>
        <v>0</v>
      </c>
      <c r="BK23" s="429" t="s">
        <v>813</v>
      </c>
      <c r="BL23" s="431">
        <v>728</v>
      </c>
    </row>
    <row r="24" spans="1:64" ht="12">
      <c r="A24" s="454" t="s">
        <v>258</v>
      </c>
      <c r="B24" s="455"/>
      <c r="C24" s="455" t="s">
        <v>4872</v>
      </c>
      <c r="D24" s="456" t="s">
        <v>4873</v>
      </c>
      <c r="E24" s="457"/>
      <c r="F24" s="455" t="s">
        <v>236</v>
      </c>
      <c r="G24" s="458">
        <v>1</v>
      </c>
      <c r="H24" s="458"/>
      <c r="I24" s="458">
        <f t="shared" si="0"/>
        <v>0</v>
      </c>
      <c r="J24" s="458">
        <f t="shared" si="1"/>
        <v>0</v>
      </c>
      <c r="K24" s="458">
        <f t="shared" si="2"/>
        <v>0</v>
      </c>
      <c r="L24" s="458">
        <v>0.015</v>
      </c>
      <c r="M24" s="458">
        <f t="shared" si="3"/>
        <v>0.015</v>
      </c>
      <c r="N24" s="459" t="s">
        <v>4702</v>
      </c>
      <c r="O24" s="383"/>
      <c r="Z24" s="431">
        <f t="shared" si="4"/>
        <v>0</v>
      </c>
      <c r="AB24" s="431">
        <f t="shared" si="5"/>
        <v>0</v>
      </c>
      <c r="AC24" s="431">
        <f t="shared" si="6"/>
        <v>0</v>
      </c>
      <c r="AD24" s="431">
        <f t="shared" si="7"/>
        <v>0</v>
      </c>
      <c r="AE24" s="431">
        <f t="shared" si="8"/>
        <v>0</v>
      </c>
      <c r="AF24" s="431">
        <f t="shared" si="9"/>
        <v>0</v>
      </c>
      <c r="AG24" s="431">
        <f t="shared" si="10"/>
        <v>0</v>
      </c>
      <c r="AH24" s="431">
        <f t="shared" si="11"/>
        <v>0</v>
      </c>
      <c r="AI24" s="405"/>
      <c r="AJ24" s="458">
        <f t="shared" si="12"/>
        <v>0</v>
      </c>
      <c r="AK24" s="458">
        <f t="shared" si="13"/>
        <v>0</v>
      </c>
      <c r="AL24" s="458">
        <f t="shared" si="14"/>
        <v>0</v>
      </c>
      <c r="AN24" s="431">
        <v>21</v>
      </c>
      <c r="AO24" s="431">
        <f>H24*1</f>
        <v>0</v>
      </c>
      <c r="AP24" s="431">
        <f>H24*(1-1)</f>
        <v>0</v>
      </c>
      <c r="AQ24" s="460" t="s">
        <v>241</v>
      </c>
      <c r="AV24" s="431">
        <f t="shared" si="15"/>
        <v>0</v>
      </c>
      <c r="AW24" s="431">
        <f t="shared" si="16"/>
        <v>0</v>
      </c>
      <c r="AX24" s="431">
        <f t="shared" si="17"/>
        <v>0</v>
      </c>
      <c r="AY24" s="433" t="s">
        <v>4867</v>
      </c>
      <c r="AZ24" s="433" t="s">
        <v>4704</v>
      </c>
      <c r="BA24" s="405" t="s">
        <v>4705</v>
      </c>
      <c r="BC24" s="431">
        <f t="shared" si="18"/>
        <v>0</v>
      </c>
      <c r="BD24" s="431">
        <f t="shared" si="19"/>
        <v>0</v>
      </c>
      <c r="BE24" s="431">
        <v>0</v>
      </c>
      <c r="BF24" s="431">
        <f t="shared" si="20"/>
        <v>0.015</v>
      </c>
      <c r="BH24" s="458">
        <f t="shared" si="21"/>
        <v>0</v>
      </c>
      <c r="BI24" s="458">
        <f t="shared" si="22"/>
        <v>0</v>
      </c>
      <c r="BJ24" s="458">
        <f t="shared" si="23"/>
        <v>0</v>
      </c>
      <c r="BK24" s="458" t="s">
        <v>484</v>
      </c>
      <c r="BL24" s="431">
        <v>728</v>
      </c>
    </row>
    <row r="25" spans="1:64" ht="12">
      <c r="A25" s="425" t="s">
        <v>265</v>
      </c>
      <c r="B25" s="426"/>
      <c r="C25" s="426" t="s">
        <v>4874</v>
      </c>
      <c r="D25" s="427" t="s">
        <v>4875</v>
      </c>
      <c r="E25" s="428"/>
      <c r="F25" s="426" t="s">
        <v>236</v>
      </c>
      <c r="G25" s="429">
        <v>1</v>
      </c>
      <c r="H25" s="429"/>
      <c r="I25" s="429">
        <f t="shared" si="0"/>
        <v>0</v>
      </c>
      <c r="J25" s="429">
        <f t="shared" si="1"/>
        <v>0</v>
      </c>
      <c r="K25" s="429">
        <f t="shared" si="2"/>
        <v>0</v>
      </c>
      <c r="L25" s="429">
        <v>0</v>
      </c>
      <c r="M25" s="429">
        <f t="shared" si="3"/>
        <v>0</v>
      </c>
      <c r="N25" s="430" t="s">
        <v>4702</v>
      </c>
      <c r="O25" s="383"/>
      <c r="Z25" s="431">
        <f t="shared" si="4"/>
        <v>0</v>
      </c>
      <c r="AB25" s="431">
        <f t="shared" si="5"/>
        <v>0</v>
      </c>
      <c r="AC25" s="431">
        <f t="shared" si="6"/>
        <v>0</v>
      </c>
      <c r="AD25" s="431">
        <f t="shared" si="7"/>
        <v>0</v>
      </c>
      <c r="AE25" s="431">
        <f t="shared" si="8"/>
        <v>0</v>
      </c>
      <c r="AF25" s="431">
        <f t="shared" si="9"/>
        <v>0</v>
      </c>
      <c r="AG25" s="431">
        <f t="shared" si="10"/>
        <v>0</v>
      </c>
      <c r="AH25" s="431">
        <f t="shared" si="11"/>
        <v>0</v>
      </c>
      <c r="AI25" s="405"/>
      <c r="AJ25" s="429">
        <f t="shared" si="12"/>
        <v>0</v>
      </c>
      <c r="AK25" s="429">
        <f t="shared" si="13"/>
        <v>0</v>
      </c>
      <c r="AL25" s="429">
        <f t="shared" si="14"/>
        <v>0</v>
      </c>
      <c r="AN25" s="431">
        <v>21</v>
      </c>
      <c r="AO25" s="431">
        <f>H25*0</f>
        <v>0</v>
      </c>
      <c r="AP25" s="431">
        <f>H25*(1-0)</f>
        <v>0</v>
      </c>
      <c r="AQ25" s="432" t="s">
        <v>241</v>
      </c>
      <c r="AV25" s="431">
        <f t="shared" si="15"/>
        <v>0</v>
      </c>
      <c r="AW25" s="431">
        <f t="shared" si="16"/>
        <v>0</v>
      </c>
      <c r="AX25" s="431">
        <f t="shared" si="17"/>
        <v>0</v>
      </c>
      <c r="AY25" s="433" t="s">
        <v>4867</v>
      </c>
      <c r="AZ25" s="433" t="s">
        <v>4704</v>
      </c>
      <c r="BA25" s="405" t="s">
        <v>4705</v>
      </c>
      <c r="BC25" s="431">
        <f t="shared" si="18"/>
        <v>0</v>
      </c>
      <c r="BD25" s="431">
        <f t="shared" si="19"/>
        <v>0</v>
      </c>
      <c r="BE25" s="431">
        <v>0</v>
      </c>
      <c r="BF25" s="431">
        <f t="shared" si="20"/>
        <v>0</v>
      </c>
      <c r="BH25" s="429">
        <f t="shared" si="21"/>
        <v>0</v>
      </c>
      <c r="BI25" s="429">
        <f t="shared" si="22"/>
        <v>0</v>
      </c>
      <c r="BJ25" s="429">
        <f t="shared" si="23"/>
        <v>0</v>
      </c>
      <c r="BK25" s="429" t="s">
        <v>813</v>
      </c>
      <c r="BL25" s="431">
        <v>728</v>
      </c>
    </row>
    <row r="26" spans="1:64" ht="12">
      <c r="A26" s="454" t="s">
        <v>271</v>
      </c>
      <c r="B26" s="455"/>
      <c r="C26" s="455" t="s">
        <v>4876</v>
      </c>
      <c r="D26" s="456" t="s">
        <v>4877</v>
      </c>
      <c r="E26" s="457"/>
      <c r="F26" s="455" t="s">
        <v>236</v>
      </c>
      <c r="G26" s="458">
        <v>1</v>
      </c>
      <c r="H26" s="458"/>
      <c r="I26" s="458">
        <f t="shared" si="0"/>
        <v>0</v>
      </c>
      <c r="J26" s="458">
        <f t="shared" si="1"/>
        <v>0</v>
      </c>
      <c r="K26" s="458">
        <f t="shared" si="2"/>
        <v>0</v>
      </c>
      <c r="L26" s="458">
        <v>0.0091</v>
      </c>
      <c r="M26" s="458">
        <f t="shared" si="3"/>
        <v>0.0091</v>
      </c>
      <c r="N26" s="459" t="s">
        <v>4702</v>
      </c>
      <c r="O26" s="383"/>
      <c r="Z26" s="431">
        <f t="shared" si="4"/>
        <v>0</v>
      </c>
      <c r="AB26" s="431">
        <f t="shared" si="5"/>
        <v>0</v>
      </c>
      <c r="AC26" s="431">
        <f t="shared" si="6"/>
        <v>0</v>
      </c>
      <c r="AD26" s="431">
        <f t="shared" si="7"/>
        <v>0</v>
      </c>
      <c r="AE26" s="431">
        <f t="shared" si="8"/>
        <v>0</v>
      </c>
      <c r="AF26" s="431">
        <f t="shared" si="9"/>
        <v>0</v>
      </c>
      <c r="AG26" s="431">
        <f t="shared" si="10"/>
        <v>0</v>
      </c>
      <c r="AH26" s="431">
        <f t="shared" si="11"/>
        <v>0</v>
      </c>
      <c r="AI26" s="405"/>
      <c r="AJ26" s="458">
        <f t="shared" si="12"/>
        <v>0</v>
      </c>
      <c r="AK26" s="458">
        <f t="shared" si="13"/>
        <v>0</v>
      </c>
      <c r="AL26" s="458">
        <f t="shared" si="14"/>
        <v>0</v>
      </c>
      <c r="AN26" s="431">
        <v>21</v>
      </c>
      <c r="AO26" s="431">
        <f>H26*1</f>
        <v>0</v>
      </c>
      <c r="AP26" s="431">
        <f>H26*(1-1)</f>
        <v>0</v>
      </c>
      <c r="AQ26" s="460" t="s">
        <v>241</v>
      </c>
      <c r="AV26" s="431">
        <f t="shared" si="15"/>
        <v>0</v>
      </c>
      <c r="AW26" s="431">
        <f t="shared" si="16"/>
        <v>0</v>
      </c>
      <c r="AX26" s="431">
        <f t="shared" si="17"/>
        <v>0</v>
      </c>
      <c r="AY26" s="433" t="s">
        <v>4867</v>
      </c>
      <c r="AZ26" s="433" t="s">
        <v>4704</v>
      </c>
      <c r="BA26" s="405" t="s">
        <v>4705</v>
      </c>
      <c r="BC26" s="431">
        <f t="shared" si="18"/>
        <v>0</v>
      </c>
      <c r="BD26" s="431">
        <f t="shared" si="19"/>
        <v>0</v>
      </c>
      <c r="BE26" s="431">
        <v>0</v>
      </c>
      <c r="BF26" s="431">
        <f t="shared" si="20"/>
        <v>0.0091</v>
      </c>
      <c r="BH26" s="458">
        <f t="shared" si="21"/>
        <v>0</v>
      </c>
      <c r="BI26" s="458">
        <f t="shared" si="22"/>
        <v>0</v>
      </c>
      <c r="BJ26" s="458">
        <f t="shared" si="23"/>
        <v>0</v>
      </c>
      <c r="BK26" s="458" t="s">
        <v>484</v>
      </c>
      <c r="BL26" s="431">
        <v>728</v>
      </c>
    </row>
    <row r="27" spans="1:64" ht="12">
      <c r="A27" s="425" t="s">
        <v>277</v>
      </c>
      <c r="B27" s="426"/>
      <c r="C27" s="426" t="s">
        <v>4878</v>
      </c>
      <c r="D27" s="427" t="s">
        <v>4879</v>
      </c>
      <c r="E27" s="428"/>
      <c r="F27" s="426" t="s">
        <v>236</v>
      </c>
      <c r="G27" s="429">
        <v>1</v>
      </c>
      <c r="H27" s="429"/>
      <c r="I27" s="429">
        <f t="shared" si="0"/>
        <v>0</v>
      </c>
      <c r="J27" s="429">
        <f t="shared" si="1"/>
        <v>0</v>
      </c>
      <c r="K27" s="429">
        <f t="shared" si="2"/>
        <v>0</v>
      </c>
      <c r="L27" s="429">
        <v>0</v>
      </c>
      <c r="M27" s="429">
        <f t="shared" si="3"/>
        <v>0</v>
      </c>
      <c r="N27" s="430" t="s">
        <v>4702</v>
      </c>
      <c r="O27" s="383"/>
      <c r="Z27" s="431">
        <f t="shared" si="4"/>
        <v>0</v>
      </c>
      <c r="AB27" s="431">
        <f t="shared" si="5"/>
        <v>0</v>
      </c>
      <c r="AC27" s="431">
        <f t="shared" si="6"/>
        <v>0</v>
      </c>
      <c r="AD27" s="431">
        <f t="shared" si="7"/>
        <v>0</v>
      </c>
      <c r="AE27" s="431">
        <f t="shared" si="8"/>
        <v>0</v>
      </c>
      <c r="AF27" s="431">
        <f t="shared" si="9"/>
        <v>0</v>
      </c>
      <c r="AG27" s="431">
        <f t="shared" si="10"/>
        <v>0</v>
      </c>
      <c r="AH27" s="431">
        <f t="shared" si="11"/>
        <v>0</v>
      </c>
      <c r="AI27" s="405"/>
      <c r="AJ27" s="429">
        <f t="shared" si="12"/>
        <v>0</v>
      </c>
      <c r="AK27" s="429">
        <f t="shared" si="13"/>
        <v>0</v>
      </c>
      <c r="AL27" s="429">
        <f t="shared" si="14"/>
        <v>0</v>
      </c>
      <c r="AN27" s="431">
        <v>21</v>
      </c>
      <c r="AO27" s="431">
        <f>H27*0</f>
        <v>0</v>
      </c>
      <c r="AP27" s="431">
        <f>H27*(1-0)</f>
        <v>0</v>
      </c>
      <c r="AQ27" s="432" t="s">
        <v>241</v>
      </c>
      <c r="AV27" s="431">
        <f t="shared" si="15"/>
        <v>0</v>
      </c>
      <c r="AW27" s="431">
        <f t="shared" si="16"/>
        <v>0</v>
      </c>
      <c r="AX27" s="431">
        <f t="shared" si="17"/>
        <v>0</v>
      </c>
      <c r="AY27" s="433" t="s">
        <v>4867</v>
      </c>
      <c r="AZ27" s="433" t="s">
        <v>4704</v>
      </c>
      <c r="BA27" s="405" t="s">
        <v>4705</v>
      </c>
      <c r="BC27" s="431">
        <f t="shared" si="18"/>
        <v>0</v>
      </c>
      <c r="BD27" s="431">
        <f t="shared" si="19"/>
        <v>0</v>
      </c>
      <c r="BE27" s="431">
        <v>0</v>
      </c>
      <c r="BF27" s="431">
        <f t="shared" si="20"/>
        <v>0</v>
      </c>
      <c r="BH27" s="429">
        <f t="shared" si="21"/>
        <v>0</v>
      </c>
      <c r="BI27" s="429">
        <f t="shared" si="22"/>
        <v>0</v>
      </c>
      <c r="BJ27" s="429">
        <f t="shared" si="23"/>
        <v>0</v>
      </c>
      <c r="BK27" s="429" t="s">
        <v>813</v>
      </c>
      <c r="BL27" s="431">
        <v>728</v>
      </c>
    </row>
    <row r="28" spans="1:64" ht="12">
      <c r="A28" s="454" t="s">
        <v>283</v>
      </c>
      <c r="B28" s="455"/>
      <c r="C28" s="455" t="s">
        <v>4880</v>
      </c>
      <c r="D28" s="456" t="s">
        <v>4881</v>
      </c>
      <c r="E28" s="457"/>
      <c r="F28" s="455" t="s">
        <v>236</v>
      </c>
      <c r="G28" s="458">
        <v>1</v>
      </c>
      <c r="H28" s="458"/>
      <c r="I28" s="458">
        <f t="shared" si="0"/>
        <v>0</v>
      </c>
      <c r="J28" s="458">
        <f t="shared" si="1"/>
        <v>0</v>
      </c>
      <c r="K28" s="458">
        <f t="shared" si="2"/>
        <v>0</v>
      </c>
      <c r="L28" s="458">
        <v>0.0065</v>
      </c>
      <c r="M28" s="458">
        <f t="shared" si="3"/>
        <v>0.0065</v>
      </c>
      <c r="N28" s="459" t="s">
        <v>4702</v>
      </c>
      <c r="O28" s="383"/>
      <c r="Z28" s="431">
        <f t="shared" si="4"/>
        <v>0</v>
      </c>
      <c r="AB28" s="431">
        <f t="shared" si="5"/>
        <v>0</v>
      </c>
      <c r="AC28" s="431">
        <f t="shared" si="6"/>
        <v>0</v>
      </c>
      <c r="AD28" s="431">
        <f t="shared" si="7"/>
        <v>0</v>
      </c>
      <c r="AE28" s="431">
        <f t="shared" si="8"/>
        <v>0</v>
      </c>
      <c r="AF28" s="431">
        <f t="shared" si="9"/>
        <v>0</v>
      </c>
      <c r="AG28" s="431">
        <f t="shared" si="10"/>
        <v>0</v>
      </c>
      <c r="AH28" s="431">
        <f t="shared" si="11"/>
        <v>0</v>
      </c>
      <c r="AI28" s="405"/>
      <c r="AJ28" s="458">
        <f t="shared" si="12"/>
        <v>0</v>
      </c>
      <c r="AK28" s="458">
        <f t="shared" si="13"/>
        <v>0</v>
      </c>
      <c r="AL28" s="458">
        <f t="shared" si="14"/>
        <v>0</v>
      </c>
      <c r="AN28" s="431">
        <v>21</v>
      </c>
      <c r="AO28" s="431">
        <f>H28*1</f>
        <v>0</v>
      </c>
      <c r="AP28" s="431">
        <f>H28*(1-1)</f>
        <v>0</v>
      </c>
      <c r="AQ28" s="460" t="s">
        <v>241</v>
      </c>
      <c r="AV28" s="431">
        <f t="shared" si="15"/>
        <v>0</v>
      </c>
      <c r="AW28" s="431">
        <f t="shared" si="16"/>
        <v>0</v>
      </c>
      <c r="AX28" s="431">
        <f t="shared" si="17"/>
        <v>0</v>
      </c>
      <c r="AY28" s="433" t="s">
        <v>4867</v>
      </c>
      <c r="AZ28" s="433" t="s">
        <v>4704</v>
      </c>
      <c r="BA28" s="405" t="s">
        <v>4705</v>
      </c>
      <c r="BC28" s="431">
        <f t="shared" si="18"/>
        <v>0</v>
      </c>
      <c r="BD28" s="431">
        <f t="shared" si="19"/>
        <v>0</v>
      </c>
      <c r="BE28" s="431">
        <v>0</v>
      </c>
      <c r="BF28" s="431">
        <f t="shared" si="20"/>
        <v>0.0065</v>
      </c>
      <c r="BH28" s="458">
        <f t="shared" si="21"/>
        <v>0</v>
      </c>
      <c r="BI28" s="458">
        <f t="shared" si="22"/>
        <v>0</v>
      </c>
      <c r="BJ28" s="458">
        <f t="shared" si="23"/>
        <v>0</v>
      </c>
      <c r="BK28" s="458" t="s">
        <v>484</v>
      </c>
      <c r="BL28" s="431">
        <v>728</v>
      </c>
    </row>
    <row r="29" spans="1:64" ht="12">
      <c r="A29" s="425" t="s">
        <v>9</v>
      </c>
      <c r="B29" s="426"/>
      <c r="C29" s="426" t="s">
        <v>4882</v>
      </c>
      <c r="D29" s="427" t="s">
        <v>4883</v>
      </c>
      <c r="E29" s="428"/>
      <c r="F29" s="426" t="s">
        <v>236</v>
      </c>
      <c r="G29" s="429">
        <v>1</v>
      </c>
      <c r="H29" s="429"/>
      <c r="I29" s="429">
        <f t="shared" si="0"/>
        <v>0</v>
      </c>
      <c r="J29" s="429">
        <f t="shared" si="1"/>
        <v>0</v>
      </c>
      <c r="K29" s="429">
        <f t="shared" si="2"/>
        <v>0</v>
      </c>
      <c r="L29" s="429">
        <v>0</v>
      </c>
      <c r="M29" s="429">
        <f t="shared" si="3"/>
        <v>0</v>
      </c>
      <c r="N29" s="430" t="s">
        <v>4702</v>
      </c>
      <c r="O29" s="383"/>
      <c r="Z29" s="431">
        <f t="shared" si="4"/>
        <v>0</v>
      </c>
      <c r="AB29" s="431">
        <f t="shared" si="5"/>
        <v>0</v>
      </c>
      <c r="AC29" s="431">
        <f t="shared" si="6"/>
        <v>0</v>
      </c>
      <c r="AD29" s="431">
        <f t="shared" si="7"/>
        <v>0</v>
      </c>
      <c r="AE29" s="431">
        <f t="shared" si="8"/>
        <v>0</v>
      </c>
      <c r="AF29" s="431">
        <f t="shared" si="9"/>
        <v>0</v>
      </c>
      <c r="AG29" s="431">
        <f t="shared" si="10"/>
        <v>0</v>
      </c>
      <c r="AH29" s="431">
        <f t="shared" si="11"/>
        <v>0</v>
      </c>
      <c r="AI29" s="405"/>
      <c r="AJ29" s="429">
        <f t="shared" si="12"/>
        <v>0</v>
      </c>
      <c r="AK29" s="429">
        <f t="shared" si="13"/>
        <v>0</v>
      </c>
      <c r="AL29" s="429">
        <f t="shared" si="14"/>
        <v>0</v>
      </c>
      <c r="AN29" s="431">
        <v>21</v>
      </c>
      <c r="AO29" s="431">
        <f>H29*0</f>
        <v>0</v>
      </c>
      <c r="AP29" s="431">
        <f>H29*(1-0)</f>
        <v>0</v>
      </c>
      <c r="AQ29" s="432" t="s">
        <v>241</v>
      </c>
      <c r="AV29" s="431">
        <f t="shared" si="15"/>
        <v>0</v>
      </c>
      <c r="AW29" s="431">
        <f t="shared" si="16"/>
        <v>0</v>
      </c>
      <c r="AX29" s="431">
        <f t="shared" si="17"/>
        <v>0</v>
      </c>
      <c r="AY29" s="433" t="s">
        <v>4867</v>
      </c>
      <c r="AZ29" s="433" t="s">
        <v>4704</v>
      </c>
      <c r="BA29" s="405" t="s">
        <v>4705</v>
      </c>
      <c r="BC29" s="431">
        <f t="shared" si="18"/>
        <v>0</v>
      </c>
      <c r="BD29" s="431">
        <f t="shared" si="19"/>
        <v>0</v>
      </c>
      <c r="BE29" s="431">
        <v>0</v>
      </c>
      <c r="BF29" s="431">
        <f t="shared" si="20"/>
        <v>0</v>
      </c>
      <c r="BH29" s="429">
        <f t="shared" si="21"/>
        <v>0</v>
      </c>
      <c r="BI29" s="429">
        <f t="shared" si="22"/>
        <v>0</v>
      </c>
      <c r="BJ29" s="429">
        <f t="shared" si="23"/>
        <v>0</v>
      </c>
      <c r="BK29" s="429" t="s">
        <v>813</v>
      </c>
      <c r="BL29" s="431">
        <v>728</v>
      </c>
    </row>
    <row r="30" spans="1:64" ht="12">
      <c r="A30" s="454" t="s">
        <v>237</v>
      </c>
      <c r="B30" s="455"/>
      <c r="C30" s="455" t="s">
        <v>4884</v>
      </c>
      <c r="D30" s="456" t="s">
        <v>4885</v>
      </c>
      <c r="E30" s="457"/>
      <c r="F30" s="455" t="s">
        <v>236</v>
      </c>
      <c r="G30" s="458">
        <v>1</v>
      </c>
      <c r="H30" s="458"/>
      <c r="I30" s="458">
        <f t="shared" si="0"/>
        <v>0</v>
      </c>
      <c r="J30" s="458">
        <f t="shared" si="1"/>
        <v>0</v>
      </c>
      <c r="K30" s="458">
        <f t="shared" si="2"/>
        <v>0</v>
      </c>
      <c r="L30" s="458">
        <v>0.005</v>
      </c>
      <c r="M30" s="458">
        <f t="shared" si="3"/>
        <v>0.005</v>
      </c>
      <c r="N30" s="459" t="s">
        <v>4702</v>
      </c>
      <c r="O30" s="383"/>
      <c r="Z30" s="431">
        <f t="shared" si="4"/>
        <v>0</v>
      </c>
      <c r="AB30" s="431">
        <f t="shared" si="5"/>
        <v>0</v>
      </c>
      <c r="AC30" s="431">
        <f t="shared" si="6"/>
        <v>0</v>
      </c>
      <c r="AD30" s="431">
        <f t="shared" si="7"/>
        <v>0</v>
      </c>
      <c r="AE30" s="431">
        <f t="shared" si="8"/>
        <v>0</v>
      </c>
      <c r="AF30" s="431">
        <f t="shared" si="9"/>
        <v>0</v>
      </c>
      <c r="AG30" s="431">
        <f t="shared" si="10"/>
        <v>0</v>
      </c>
      <c r="AH30" s="431">
        <f t="shared" si="11"/>
        <v>0</v>
      </c>
      <c r="AI30" s="405"/>
      <c r="AJ30" s="458">
        <f t="shared" si="12"/>
        <v>0</v>
      </c>
      <c r="AK30" s="458">
        <f t="shared" si="13"/>
        <v>0</v>
      </c>
      <c r="AL30" s="458">
        <f t="shared" si="14"/>
        <v>0</v>
      </c>
      <c r="AN30" s="431">
        <v>21</v>
      </c>
      <c r="AO30" s="431">
        <f>H30*1</f>
        <v>0</v>
      </c>
      <c r="AP30" s="431">
        <f>H30*(1-1)</f>
        <v>0</v>
      </c>
      <c r="AQ30" s="460" t="s">
        <v>241</v>
      </c>
      <c r="AV30" s="431">
        <f t="shared" si="15"/>
        <v>0</v>
      </c>
      <c r="AW30" s="431">
        <f t="shared" si="16"/>
        <v>0</v>
      </c>
      <c r="AX30" s="431">
        <f t="shared" si="17"/>
        <v>0</v>
      </c>
      <c r="AY30" s="433" t="s">
        <v>4867</v>
      </c>
      <c r="AZ30" s="433" t="s">
        <v>4704</v>
      </c>
      <c r="BA30" s="405" t="s">
        <v>4705</v>
      </c>
      <c r="BC30" s="431">
        <f t="shared" si="18"/>
        <v>0</v>
      </c>
      <c r="BD30" s="431">
        <f t="shared" si="19"/>
        <v>0</v>
      </c>
      <c r="BE30" s="431">
        <v>0</v>
      </c>
      <c r="BF30" s="431">
        <f t="shared" si="20"/>
        <v>0.005</v>
      </c>
      <c r="BH30" s="458">
        <f t="shared" si="21"/>
        <v>0</v>
      </c>
      <c r="BI30" s="458">
        <f t="shared" si="22"/>
        <v>0</v>
      </c>
      <c r="BJ30" s="458">
        <f t="shared" si="23"/>
        <v>0</v>
      </c>
      <c r="BK30" s="458" t="s">
        <v>484</v>
      </c>
      <c r="BL30" s="431">
        <v>728</v>
      </c>
    </row>
    <row r="31" spans="1:64" ht="12">
      <c r="A31" s="425" t="s">
        <v>302</v>
      </c>
      <c r="B31" s="426"/>
      <c r="C31" s="426" t="s">
        <v>4886</v>
      </c>
      <c r="D31" s="427" t="s">
        <v>4887</v>
      </c>
      <c r="E31" s="428"/>
      <c r="F31" s="426" t="s">
        <v>476</v>
      </c>
      <c r="G31" s="429">
        <v>1</v>
      </c>
      <c r="H31" s="429"/>
      <c r="I31" s="429">
        <f t="shared" si="0"/>
        <v>0</v>
      </c>
      <c r="J31" s="429">
        <f t="shared" si="1"/>
        <v>0</v>
      </c>
      <c r="K31" s="429">
        <f t="shared" si="2"/>
        <v>0</v>
      </c>
      <c r="L31" s="429">
        <v>0</v>
      </c>
      <c r="M31" s="429">
        <f t="shared" si="3"/>
        <v>0</v>
      </c>
      <c r="N31" s="430" t="s">
        <v>4702</v>
      </c>
      <c r="O31" s="383"/>
      <c r="Z31" s="431">
        <f t="shared" si="4"/>
        <v>0</v>
      </c>
      <c r="AB31" s="431">
        <f t="shared" si="5"/>
        <v>0</v>
      </c>
      <c r="AC31" s="431">
        <f t="shared" si="6"/>
        <v>0</v>
      </c>
      <c r="AD31" s="431">
        <f t="shared" si="7"/>
        <v>0</v>
      </c>
      <c r="AE31" s="431">
        <f t="shared" si="8"/>
        <v>0</v>
      </c>
      <c r="AF31" s="431">
        <f t="shared" si="9"/>
        <v>0</v>
      </c>
      <c r="AG31" s="431">
        <f t="shared" si="10"/>
        <v>0</v>
      </c>
      <c r="AH31" s="431">
        <f t="shared" si="11"/>
        <v>0</v>
      </c>
      <c r="AI31" s="405"/>
      <c r="AJ31" s="429">
        <f t="shared" si="12"/>
        <v>0</v>
      </c>
      <c r="AK31" s="429">
        <f t="shared" si="13"/>
        <v>0</v>
      </c>
      <c r="AL31" s="429">
        <f t="shared" si="14"/>
        <v>0</v>
      </c>
      <c r="AN31" s="431">
        <v>21</v>
      </c>
      <c r="AO31" s="431">
        <f>H31*0</f>
        <v>0</v>
      </c>
      <c r="AP31" s="431">
        <f>H31*(1-0)</f>
        <v>0</v>
      </c>
      <c r="AQ31" s="432" t="s">
        <v>241</v>
      </c>
      <c r="AV31" s="431">
        <f t="shared" si="15"/>
        <v>0</v>
      </c>
      <c r="AW31" s="431">
        <f t="shared" si="16"/>
        <v>0</v>
      </c>
      <c r="AX31" s="431">
        <f t="shared" si="17"/>
        <v>0</v>
      </c>
      <c r="AY31" s="433" t="s">
        <v>4867</v>
      </c>
      <c r="AZ31" s="433" t="s">
        <v>4704</v>
      </c>
      <c r="BA31" s="405" t="s">
        <v>4705</v>
      </c>
      <c r="BC31" s="431">
        <f t="shared" si="18"/>
        <v>0</v>
      </c>
      <c r="BD31" s="431">
        <f t="shared" si="19"/>
        <v>0</v>
      </c>
      <c r="BE31" s="431">
        <v>0</v>
      </c>
      <c r="BF31" s="431">
        <f t="shared" si="20"/>
        <v>0</v>
      </c>
      <c r="BH31" s="429">
        <f t="shared" si="21"/>
        <v>0</v>
      </c>
      <c r="BI31" s="429">
        <f t="shared" si="22"/>
        <v>0</v>
      </c>
      <c r="BJ31" s="429">
        <f t="shared" si="23"/>
        <v>0</v>
      </c>
      <c r="BK31" s="429" t="s">
        <v>813</v>
      </c>
      <c r="BL31" s="431">
        <v>728</v>
      </c>
    </row>
    <row r="32" spans="1:64" ht="12">
      <c r="A32" s="454" t="s">
        <v>315</v>
      </c>
      <c r="B32" s="455"/>
      <c r="C32" s="455" t="s">
        <v>4888</v>
      </c>
      <c r="D32" s="456" t="s">
        <v>4889</v>
      </c>
      <c r="E32" s="457"/>
      <c r="F32" s="455" t="s">
        <v>236</v>
      </c>
      <c r="G32" s="458">
        <v>1</v>
      </c>
      <c r="H32" s="458"/>
      <c r="I32" s="458">
        <f t="shared" si="0"/>
        <v>0</v>
      </c>
      <c r="J32" s="458">
        <f t="shared" si="1"/>
        <v>0</v>
      </c>
      <c r="K32" s="458">
        <f t="shared" si="2"/>
        <v>0</v>
      </c>
      <c r="L32" s="458">
        <v>0.01536</v>
      </c>
      <c r="M32" s="458">
        <f t="shared" si="3"/>
        <v>0.01536</v>
      </c>
      <c r="N32" s="459" t="s">
        <v>4702</v>
      </c>
      <c r="O32" s="383"/>
      <c r="Z32" s="431">
        <f t="shared" si="4"/>
        <v>0</v>
      </c>
      <c r="AB32" s="431">
        <f t="shared" si="5"/>
        <v>0</v>
      </c>
      <c r="AC32" s="431">
        <f t="shared" si="6"/>
        <v>0</v>
      </c>
      <c r="AD32" s="431">
        <f t="shared" si="7"/>
        <v>0</v>
      </c>
      <c r="AE32" s="431">
        <f t="shared" si="8"/>
        <v>0</v>
      </c>
      <c r="AF32" s="431">
        <f t="shared" si="9"/>
        <v>0</v>
      </c>
      <c r="AG32" s="431">
        <f t="shared" si="10"/>
        <v>0</v>
      </c>
      <c r="AH32" s="431">
        <f t="shared" si="11"/>
        <v>0</v>
      </c>
      <c r="AI32" s="405"/>
      <c r="AJ32" s="458">
        <f t="shared" si="12"/>
        <v>0</v>
      </c>
      <c r="AK32" s="458">
        <f t="shared" si="13"/>
        <v>0</v>
      </c>
      <c r="AL32" s="458">
        <f t="shared" si="14"/>
        <v>0</v>
      </c>
      <c r="AN32" s="431">
        <v>21</v>
      </c>
      <c r="AO32" s="431">
        <f>H32*1</f>
        <v>0</v>
      </c>
      <c r="AP32" s="431">
        <f>H32*(1-1)</f>
        <v>0</v>
      </c>
      <c r="AQ32" s="460" t="s">
        <v>241</v>
      </c>
      <c r="AV32" s="431">
        <f t="shared" si="15"/>
        <v>0</v>
      </c>
      <c r="AW32" s="431">
        <f t="shared" si="16"/>
        <v>0</v>
      </c>
      <c r="AX32" s="431">
        <f t="shared" si="17"/>
        <v>0</v>
      </c>
      <c r="AY32" s="433" t="s">
        <v>4867</v>
      </c>
      <c r="AZ32" s="433" t="s">
        <v>4704</v>
      </c>
      <c r="BA32" s="405" t="s">
        <v>4705</v>
      </c>
      <c r="BC32" s="431">
        <f t="shared" si="18"/>
        <v>0</v>
      </c>
      <c r="BD32" s="431">
        <f t="shared" si="19"/>
        <v>0</v>
      </c>
      <c r="BE32" s="431">
        <v>0</v>
      </c>
      <c r="BF32" s="431">
        <f t="shared" si="20"/>
        <v>0.01536</v>
      </c>
      <c r="BH32" s="458">
        <f t="shared" si="21"/>
        <v>0</v>
      </c>
      <c r="BI32" s="458">
        <f t="shared" si="22"/>
        <v>0</v>
      </c>
      <c r="BJ32" s="458">
        <f t="shared" si="23"/>
        <v>0</v>
      </c>
      <c r="BK32" s="458" t="s">
        <v>484</v>
      </c>
      <c r="BL32" s="431">
        <v>728</v>
      </c>
    </row>
    <row r="33" spans="1:64" ht="12">
      <c r="A33" s="425" t="s">
        <v>461</v>
      </c>
      <c r="B33" s="426"/>
      <c r="C33" s="426" t="s">
        <v>4890</v>
      </c>
      <c r="D33" s="427" t="s">
        <v>4891</v>
      </c>
      <c r="E33" s="428"/>
      <c r="F33" s="426" t="s">
        <v>236</v>
      </c>
      <c r="G33" s="429">
        <v>1</v>
      </c>
      <c r="H33" s="429"/>
      <c r="I33" s="429">
        <f t="shared" si="0"/>
        <v>0</v>
      </c>
      <c r="J33" s="429">
        <f t="shared" si="1"/>
        <v>0</v>
      </c>
      <c r="K33" s="429">
        <f t="shared" si="2"/>
        <v>0</v>
      </c>
      <c r="L33" s="429">
        <v>0</v>
      </c>
      <c r="M33" s="429">
        <f t="shared" si="3"/>
        <v>0</v>
      </c>
      <c r="N33" s="430" t="s">
        <v>4702</v>
      </c>
      <c r="O33" s="383"/>
      <c r="Z33" s="431">
        <f t="shared" si="4"/>
        <v>0</v>
      </c>
      <c r="AB33" s="431">
        <f t="shared" si="5"/>
        <v>0</v>
      </c>
      <c r="AC33" s="431">
        <f t="shared" si="6"/>
        <v>0</v>
      </c>
      <c r="AD33" s="431">
        <f t="shared" si="7"/>
        <v>0</v>
      </c>
      <c r="AE33" s="431">
        <f t="shared" si="8"/>
        <v>0</v>
      </c>
      <c r="AF33" s="431">
        <f t="shared" si="9"/>
        <v>0</v>
      </c>
      <c r="AG33" s="431">
        <f t="shared" si="10"/>
        <v>0</v>
      </c>
      <c r="AH33" s="431">
        <f t="shared" si="11"/>
        <v>0</v>
      </c>
      <c r="AI33" s="405"/>
      <c r="AJ33" s="429">
        <f t="shared" si="12"/>
        <v>0</v>
      </c>
      <c r="AK33" s="429">
        <f t="shared" si="13"/>
        <v>0</v>
      </c>
      <c r="AL33" s="429">
        <f t="shared" si="14"/>
        <v>0</v>
      </c>
      <c r="AN33" s="431">
        <v>21</v>
      </c>
      <c r="AO33" s="431">
        <f>H33*0</f>
        <v>0</v>
      </c>
      <c r="AP33" s="431">
        <f>H33*(1-0)</f>
        <v>0</v>
      </c>
      <c r="AQ33" s="432" t="s">
        <v>241</v>
      </c>
      <c r="AV33" s="431">
        <f t="shared" si="15"/>
        <v>0</v>
      </c>
      <c r="AW33" s="431">
        <f t="shared" si="16"/>
        <v>0</v>
      </c>
      <c r="AX33" s="431">
        <f t="shared" si="17"/>
        <v>0</v>
      </c>
      <c r="AY33" s="433" t="s">
        <v>4867</v>
      </c>
      <c r="AZ33" s="433" t="s">
        <v>4704</v>
      </c>
      <c r="BA33" s="405" t="s">
        <v>4705</v>
      </c>
      <c r="BC33" s="431">
        <f t="shared" si="18"/>
        <v>0</v>
      </c>
      <c r="BD33" s="431">
        <f t="shared" si="19"/>
        <v>0</v>
      </c>
      <c r="BE33" s="431">
        <v>0</v>
      </c>
      <c r="BF33" s="431">
        <f t="shared" si="20"/>
        <v>0</v>
      </c>
      <c r="BH33" s="429">
        <f t="shared" si="21"/>
        <v>0</v>
      </c>
      <c r="BI33" s="429">
        <f t="shared" si="22"/>
        <v>0</v>
      </c>
      <c r="BJ33" s="429">
        <f t="shared" si="23"/>
        <v>0</v>
      </c>
      <c r="BK33" s="429" t="s">
        <v>813</v>
      </c>
      <c r="BL33" s="431">
        <v>728</v>
      </c>
    </row>
    <row r="34" spans="1:64" ht="12">
      <c r="A34" s="454" t="s">
        <v>467</v>
      </c>
      <c r="B34" s="455"/>
      <c r="C34" s="455" t="s">
        <v>4892</v>
      </c>
      <c r="D34" s="456" t="s">
        <v>4893</v>
      </c>
      <c r="E34" s="457"/>
      <c r="F34" s="455" t="s">
        <v>236</v>
      </c>
      <c r="G34" s="458">
        <v>1</v>
      </c>
      <c r="H34" s="458"/>
      <c r="I34" s="458">
        <f t="shared" si="0"/>
        <v>0</v>
      </c>
      <c r="J34" s="458">
        <f t="shared" si="1"/>
        <v>0</v>
      </c>
      <c r="K34" s="458">
        <f t="shared" si="2"/>
        <v>0</v>
      </c>
      <c r="L34" s="458">
        <v>0.029</v>
      </c>
      <c r="M34" s="458">
        <f t="shared" si="3"/>
        <v>0.029</v>
      </c>
      <c r="N34" s="459" t="s">
        <v>4702</v>
      </c>
      <c r="O34" s="383"/>
      <c r="Z34" s="431">
        <f t="shared" si="4"/>
        <v>0</v>
      </c>
      <c r="AB34" s="431">
        <f t="shared" si="5"/>
        <v>0</v>
      </c>
      <c r="AC34" s="431">
        <f t="shared" si="6"/>
        <v>0</v>
      </c>
      <c r="AD34" s="431">
        <f t="shared" si="7"/>
        <v>0</v>
      </c>
      <c r="AE34" s="431">
        <f t="shared" si="8"/>
        <v>0</v>
      </c>
      <c r="AF34" s="431">
        <f t="shared" si="9"/>
        <v>0</v>
      </c>
      <c r="AG34" s="431">
        <f t="shared" si="10"/>
        <v>0</v>
      </c>
      <c r="AH34" s="431">
        <f t="shared" si="11"/>
        <v>0</v>
      </c>
      <c r="AI34" s="405"/>
      <c r="AJ34" s="458">
        <f t="shared" si="12"/>
        <v>0</v>
      </c>
      <c r="AK34" s="458">
        <f t="shared" si="13"/>
        <v>0</v>
      </c>
      <c r="AL34" s="458">
        <f t="shared" si="14"/>
        <v>0</v>
      </c>
      <c r="AN34" s="431">
        <v>21</v>
      </c>
      <c r="AO34" s="431">
        <f>H34*1</f>
        <v>0</v>
      </c>
      <c r="AP34" s="431">
        <f>H34*(1-1)</f>
        <v>0</v>
      </c>
      <c r="AQ34" s="460" t="s">
        <v>241</v>
      </c>
      <c r="AV34" s="431">
        <f t="shared" si="15"/>
        <v>0</v>
      </c>
      <c r="AW34" s="431">
        <f t="shared" si="16"/>
        <v>0</v>
      </c>
      <c r="AX34" s="431">
        <f t="shared" si="17"/>
        <v>0</v>
      </c>
      <c r="AY34" s="433" t="s">
        <v>4867</v>
      </c>
      <c r="AZ34" s="433" t="s">
        <v>4704</v>
      </c>
      <c r="BA34" s="405" t="s">
        <v>4705</v>
      </c>
      <c r="BC34" s="431">
        <f t="shared" si="18"/>
        <v>0</v>
      </c>
      <c r="BD34" s="431">
        <f t="shared" si="19"/>
        <v>0</v>
      </c>
      <c r="BE34" s="431">
        <v>0</v>
      </c>
      <c r="BF34" s="431">
        <f t="shared" si="20"/>
        <v>0.029</v>
      </c>
      <c r="BH34" s="458">
        <f t="shared" si="21"/>
        <v>0</v>
      </c>
      <c r="BI34" s="458">
        <f t="shared" si="22"/>
        <v>0</v>
      </c>
      <c r="BJ34" s="458">
        <f t="shared" si="23"/>
        <v>0</v>
      </c>
      <c r="BK34" s="458" t="s">
        <v>484</v>
      </c>
      <c r="BL34" s="431">
        <v>728</v>
      </c>
    </row>
    <row r="35" spans="1:64" ht="12">
      <c r="A35" s="425" t="s">
        <v>8</v>
      </c>
      <c r="B35" s="426"/>
      <c r="C35" s="426" t="s">
        <v>4894</v>
      </c>
      <c r="D35" s="427" t="s">
        <v>4895</v>
      </c>
      <c r="E35" s="428"/>
      <c r="F35" s="426" t="s">
        <v>236</v>
      </c>
      <c r="G35" s="429">
        <v>4</v>
      </c>
      <c r="H35" s="429"/>
      <c r="I35" s="429">
        <f t="shared" si="0"/>
        <v>0</v>
      </c>
      <c r="J35" s="429">
        <f t="shared" si="1"/>
        <v>0</v>
      </c>
      <c r="K35" s="429">
        <f t="shared" si="2"/>
        <v>0</v>
      </c>
      <c r="L35" s="429">
        <v>0</v>
      </c>
      <c r="M35" s="429">
        <f t="shared" si="3"/>
        <v>0</v>
      </c>
      <c r="N35" s="430" t="s">
        <v>4702</v>
      </c>
      <c r="O35" s="383"/>
      <c r="Z35" s="431">
        <f t="shared" si="4"/>
        <v>0</v>
      </c>
      <c r="AB35" s="431">
        <f t="shared" si="5"/>
        <v>0</v>
      </c>
      <c r="AC35" s="431">
        <f t="shared" si="6"/>
        <v>0</v>
      </c>
      <c r="AD35" s="431">
        <f t="shared" si="7"/>
        <v>0</v>
      </c>
      <c r="AE35" s="431">
        <f t="shared" si="8"/>
        <v>0</v>
      </c>
      <c r="AF35" s="431">
        <f t="shared" si="9"/>
        <v>0</v>
      </c>
      <c r="AG35" s="431">
        <f t="shared" si="10"/>
        <v>0</v>
      </c>
      <c r="AH35" s="431">
        <f t="shared" si="11"/>
        <v>0</v>
      </c>
      <c r="AI35" s="405"/>
      <c r="AJ35" s="429">
        <f t="shared" si="12"/>
        <v>0</v>
      </c>
      <c r="AK35" s="429">
        <f t="shared" si="13"/>
        <v>0</v>
      </c>
      <c r="AL35" s="429">
        <f t="shared" si="14"/>
        <v>0</v>
      </c>
      <c r="AN35" s="431">
        <v>21</v>
      </c>
      <c r="AO35" s="431">
        <f>H35*0</f>
        <v>0</v>
      </c>
      <c r="AP35" s="431">
        <f>H35*(1-0)</f>
        <v>0</v>
      </c>
      <c r="AQ35" s="432" t="s">
        <v>241</v>
      </c>
      <c r="AV35" s="431">
        <f t="shared" si="15"/>
        <v>0</v>
      </c>
      <c r="AW35" s="431">
        <f t="shared" si="16"/>
        <v>0</v>
      </c>
      <c r="AX35" s="431">
        <f t="shared" si="17"/>
        <v>0</v>
      </c>
      <c r="AY35" s="433" t="s">
        <v>4867</v>
      </c>
      <c r="AZ35" s="433" t="s">
        <v>4704</v>
      </c>
      <c r="BA35" s="405" t="s">
        <v>4705</v>
      </c>
      <c r="BC35" s="431">
        <f t="shared" si="18"/>
        <v>0</v>
      </c>
      <c r="BD35" s="431">
        <f t="shared" si="19"/>
        <v>0</v>
      </c>
      <c r="BE35" s="431">
        <v>0</v>
      </c>
      <c r="BF35" s="431">
        <f t="shared" si="20"/>
        <v>0</v>
      </c>
      <c r="BH35" s="429">
        <f t="shared" si="21"/>
        <v>0</v>
      </c>
      <c r="BI35" s="429">
        <f t="shared" si="22"/>
        <v>0</v>
      </c>
      <c r="BJ35" s="429">
        <f t="shared" si="23"/>
        <v>0</v>
      </c>
      <c r="BK35" s="429" t="s">
        <v>813</v>
      </c>
      <c r="BL35" s="431">
        <v>728</v>
      </c>
    </row>
    <row r="36" spans="1:15" ht="12">
      <c r="A36" s="383"/>
      <c r="C36" s="434" t="s">
        <v>4706</v>
      </c>
      <c r="D36" s="435" t="s">
        <v>4896</v>
      </c>
      <c r="E36" s="436"/>
      <c r="F36" s="436"/>
      <c r="G36" s="436"/>
      <c r="H36" s="436"/>
      <c r="I36" s="436"/>
      <c r="J36" s="436"/>
      <c r="K36" s="436"/>
      <c r="L36" s="436"/>
      <c r="M36" s="436"/>
      <c r="N36" s="437"/>
      <c r="O36" s="383"/>
    </row>
    <row r="37" spans="1:64" ht="12">
      <c r="A37" s="454" t="s">
        <v>483</v>
      </c>
      <c r="B37" s="455"/>
      <c r="C37" s="455" t="s">
        <v>4897</v>
      </c>
      <c r="D37" s="456" t="s">
        <v>4898</v>
      </c>
      <c r="E37" s="457"/>
      <c r="F37" s="455" t="s">
        <v>236</v>
      </c>
      <c r="G37" s="458">
        <v>4</v>
      </c>
      <c r="H37" s="458"/>
      <c r="I37" s="458">
        <f>G37*AO37</f>
        <v>0</v>
      </c>
      <c r="J37" s="458">
        <f>G37*AP37</f>
        <v>0</v>
      </c>
      <c r="K37" s="458">
        <f>G37*H37</f>
        <v>0</v>
      </c>
      <c r="L37" s="458">
        <v>0.0022</v>
      </c>
      <c r="M37" s="458">
        <f>G37*L37</f>
        <v>0.0088</v>
      </c>
      <c r="N37" s="459" t="s">
        <v>4702</v>
      </c>
      <c r="O37" s="383"/>
      <c r="Z37" s="431">
        <f>IF(AQ37="5",BJ37,0)</f>
        <v>0</v>
      </c>
      <c r="AB37" s="431">
        <f>IF(AQ37="1",BH37,0)</f>
        <v>0</v>
      </c>
      <c r="AC37" s="431">
        <f>IF(AQ37="1",BI37,0)</f>
        <v>0</v>
      </c>
      <c r="AD37" s="431">
        <f>IF(AQ37="7",BH37,0)</f>
        <v>0</v>
      </c>
      <c r="AE37" s="431">
        <f>IF(AQ37="7",BI37,0)</f>
        <v>0</v>
      </c>
      <c r="AF37" s="431">
        <f>IF(AQ37="2",BH37,0)</f>
        <v>0</v>
      </c>
      <c r="AG37" s="431">
        <f>IF(AQ37="2",BI37,0)</f>
        <v>0</v>
      </c>
      <c r="AH37" s="431">
        <f>IF(AQ37="0",BJ37,0)</f>
        <v>0</v>
      </c>
      <c r="AI37" s="405"/>
      <c r="AJ37" s="458">
        <f>IF(AN37=0,K37,0)</f>
        <v>0</v>
      </c>
      <c r="AK37" s="458">
        <f>IF(AN37=15,K37,0)</f>
        <v>0</v>
      </c>
      <c r="AL37" s="458">
        <f>IF(AN37=21,K37,0)</f>
        <v>0</v>
      </c>
      <c r="AN37" s="431">
        <v>21</v>
      </c>
      <c r="AO37" s="431">
        <f>H37*1</f>
        <v>0</v>
      </c>
      <c r="AP37" s="431">
        <f>H37*(1-1)</f>
        <v>0</v>
      </c>
      <c r="AQ37" s="460" t="s">
        <v>241</v>
      </c>
      <c r="AV37" s="431">
        <f>AW37+AX37</f>
        <v>0</v>
      </c>
      <c r="AW37" s="431">
        <f>G37*AO37</f>
        <v>0</v>
      </c>
      <c r="AX37" s="431">
        <f>G37*AP37</f>
        <v>0</v>
      </c>
      <c r="AY37" s="433" t="s">
        <v>4867</v>
      </c>
      <c r="AZ37" s="433" t="s">
        <v>4704</v>
      </c>
      <c r="BA37" s="405" t="s">
        <v>4705</v>
      </c>
      <c r="BC37" s="431">
        <f>AW37+AX37</f>
        <v>0</v>
      </c>
      <c r="BD37" s="431">
        <f>H37/(100-BE37)*100</f>
        <v>0</v>
      </c>
      <c r="BE37" s="431">
        <v>0</v>
      </c>
      <c r="BF37" s="431">
        <f>M37</f>
        <v>0.0088</v>
      </c>
      <c r="BH37" s="458">
        <f>G37*AO37</f>
        <v>0</v>
      </c>
      <c r="BI37" s="458">
        <f>G37*AP37</f>
        <v>0</v>
      </c>
      <c r="BJ37" s="458">
        <f>G37*H37</f>
        <v>0</v>
      </c>
      <c r="BK37" s="458" t="s">
        <v>484</v>
      </c>
      <c r="BL37" s="431">
        <v>728</v>
      </c>
    </row>
    <row r="38" spans="1:64" ht="12">
      <c r="A38" s="425" t="s">
        <v>490</v>
      </c>
      <c r="B38" s="426"/>
      <c r="C38" s="426" t="s">
        <v>4899</v>
      </c>
      <c r="D38" s="427" t="s">
        <v>4900</v>
      </c>
      <c r="E38" s="428"/>
      <c r="F38" s="426" t="s">
        <v>236</v>
      </c>
      <c r="G38" s="429">
        <v>4</v>
      </c>
      <c r="H38" s="429"/>
      <c r="I38" s="429">
        <f>G38*AO38</f>
        <v>0</v>
      </c>
      <c r="J38" s="429">
        <f>G38*AP38</f>
        <v>0</v>
      </c>
      <c r="K38" s="429">
        <f>G38*H38</f>
        <v>0</v>
      </c>
      <c r="L38" s="429">
        <v>0</v>
      </c>
      <c r="M38" s="429">
        <f>G38*L38</f>
        <v>0</v>
      </c>
      <c r="N38" s="430" t="s">
        <v>4702</v>
      </c>
      <c r="O38" s="383"/>
      <c r="Z38" s="431">
        <f>IF(AQ38="5",BJ38,0)</f>
        <v>0</v>
      </c>
      <c r="AB38" s="431">
        <f>IF(AQ38="1",BH38,0)</f>
        <v>0</v>
      </c>
      <c r="AC38" s="431">
        <f>IF(AQ38="1",BI38,0)</f>
        <v>0</v>
      </c>
      <c r="AD38" s="431">
        <f>IF(AQ38="7",BH38,0)</f>
        <v>0</v>
      </c>
      <c r="AE38" s="431">
        <f>IF(AQ38="7",BI38,0)</f>
        <v>0</v>
      </c>
      <c r="AF38" s="431">
        <f>IF(AQ38="2",BH38,0)</f>
        <v>0</v>
      </c>
      <c r="AG38" s="431">
        <f>IF(AQ38="2",BI38,0)</f>
        <v>0</v>
      </c>
      <c r="AH38" s="431">
        <f>IF(AQ38="0",BJ38,0)</f>
        <v>0</v>
      </c>
      <c r="AI38" s="405"/>
      <c r="AJ38" s="429">
        <f>IF(AN38=0,K38,0)</f>
        <v>0</v>
      </c>
      <c r="AK38" s="429">
        <f>IF(AN38=15,K38,0)</f>
        <v>0</v>
      </c>
      <c r="AL38" s="429">
        <f>IF(AN38=21,K38,0)</f>
        <v>0</v>
      </c>
      <c r="AN38" s="431">
        <v>21</v>
      </c>
      <c r="AO38" s="431">
        <f>H38*0</f>
        <v>0</v>
      </c>
      <c r="AP38" s="431">
        <f>H38*(1-0)</f>
        <v>0</v>
      </c>
      <c r="AQ38" s="432" t="s">
        <v>241</v>
      </c>
      <c r="AV38" s="431">
        <f>AW38+AX38</f>
        <v>0</v>
      </c>
      <c r="AW38" s="431">
        <f>G38*AO38</f>
        <v>0</v>
      </c>
      <c r="AX38" s="431">
        <f>G38*AP38</f>
        <v>0</v>
      </c>
      <c r="AY38" s="433" t="s">
        <v>4867</v>
      </c>
      <c r="AZ38" s="433" t="s">
        <v>4704</v>
      </c>
      <c r="BA38" s="405" t="s">
        <v>4705</v>
      </c>
      <c r="BC38" s="431">
        <f>AW38+AX38</f>
        <v>0</v>
      </c>
      <c r="BD38" s="431">
        <f>H38/(100-BE38)*100</f>
        <v>0</v>
      </c>
      <c r="BE38" s="431">
        <v>0</v>
      </c>
      <c r="BF38" s="431">
        <f>M38</f>
        <v>0</v>
      </c>
      <c r="BH38" s="429">
        <f>G38*AO38</f>
        <v>0</v>
      </c>
      <c r="BI38" s="429">
        <f>G38*AP38</f>
        <v>0</v>
      </c>
      <c r="BJ38" s="429">
        <f>G38*H38</f>
        <v>0</v>
      </c>
      <c r="BK38" s="429" t="s">
        <v>813</v>
      </c>
      <c r="BL38" s="431">
        <v>728</v>
      </c>
    </row>
    <row r="39" spans="1:15" ht="12">
      <c r="A39" s="383"/>
      <c r="C39" s="434" t="s">
        <v>4706</v>
      </c>
      <c r="D39" s="435" t="s">
        <v>4901</v>
      </c>
      <c r="E39" s="436"/>
      <c r="F39" s="436"/>
      <c r="G39" s="436"/>
      <c r="H39" s="436"/>
      <c r="I39" s="436"/>
      <c r="J39" s="436"/>
      <c r="K39" s="436"/>
      <c r="L39" s="436"/>
      <c r="M39" s="436"/>
      <c r="N39" s="437"/>
      <c r="O39" s="383"/>
    </row>
    <row r="40" spans="1:64" ht="12">
      <c r="A40" s="454" t="s">
        <v>496</v>
      </c>
      <c r="B40" s="455"/>
      <c r="C40" s="455" t="s">
        <v>4902</v>
      </c>
      <c r="D40" s="456" t="s">
        <v>4903</v>
      </c>
      <c r="E40" s="457"/>
      <c r="F40" s="455" t="s">
        <v>236</v>
      </c>
      <c r="G40" s="458">
        <v>4</v>
      </c>
      <c r="H40" s="458"/>
      <c r="I40" s="458">
        <f>G40*AO40</f>
        <v>0</v>
      </c>
      <c r="J40" s="458">
        <f>G40*AP40</f>
        <v>0</v>
      </c>
      <c r="K40" s="458">
        <f>G40*H40</f>
        <v>0</v>
      </c>
      <c r="L40" s="458">
        <v>0.0015</v>
      </c>
      <c r="M40" s="458">
        <f>G40*L40</f>
        <v>0.006</v>
      </c>
      <c r="N40" s="459" t="s">
        <v>4702</v>
      </c>
      <c r="O40" s="383"/>
      <c r="Z40" s="431">
        <f>IF(AQ40="5",BJ40,0)</f>
        <v>0</v>
      </c>
      <c r="AB40" s="431">
        <f>IF(AQ40="1",BH40,0)</f>
        <v>0</v>
      </c>
      <c r="AC40" s="431">
        <f>IF(AQ40="1",BI40,0)</f>
        <v>0</v>
      </c>
      <c r="AD40" s="431">
        <f>IF(AQ40="7",BH40,0)</f>
        <v>0</v>
      </c>
      <c r="AE40" s="431">
        <f>IF(AQ40="7",BI40,0)</f>
        <v>0</v>
      </c>
      <c r="AF40" s="431">
        <f>IF(AQ40="2",BH40,0)</f>
        <v>0</v>
      </c>
      <c r="AG40" s="431">
        <f>IF(AQ40="2",BI40,0)</f>
        <v>0</v>
      </c>
      <c r="AH40" s="431">
        <f>IF(AQ40="0",BJ40,0)</f>
        <v>0</v>
      </c>
      <c r="AI40" s="405"/>
      <c r="AJ40" s="458">
        <f>IF(AN40=0,K40,0)</f>
        <v>0</v>
      </c>
      <c r="AK40" s="458">
        <f>IF(AN40=15,K40,0)</f>
        <v>0</v>
      </c>
      <c r="AL40" s="458">
        <f>IF(AN40=21,K40,0)</f>
        <v>0</v>
      </c>
      <c r="AN40" s="431">
        <v>21</v>
      </c>
      <c r="AO40" s="431">
        <f>H40*1</f>
        <v>0</v>
      </c>
      <c r="AP40" s="431">
        <f>H40*(1-1)</f>
        <v>0</v>
      </c>
      <c r="AQ40" s="460" t="s">
        <v>241</v>
      </c>
      <c r="AV40" s="431">
        <f>AW40+AX40</f>
        <v>0</v>
      </c>
      <c r="AW40" s="431">
        <f>G40*AO40</f>
        <v>0</v>
      </c>
      <c r="AX40" s="431">
        <f>G40*AP40</f>
        <v>0</v>
      </c>
      <c r="AY40" s="433" t="s">
        <v>4867</v>
      </c>
      <c r="AZ40" s="433" t="s">
        <v>4704</v>
      </c>
      <c r="BA40" s="405" t="s">
        <v>4705</v>
      </c>
      <c r="BC40" s="431">
        <f>AW40+AX40</f>
        <v>0</v>
      </c>
      <c r="BD40" s="431">
        <f>H40/(100-BE40)*100</f>
        <v>0</v>
      </c>
      <c r="BE40" s="431">
        <v>0</v>
      </c>
      <c r="BF40" s="431">
        <f>M40</f>
        <v>0.006</v>
      </c>
      <c r="BH40" s="458">
        <f>G40*AO40</f>
        <v>0</v>
      </c>
      <c r="BI40" s="458">
        <f>G40*AP40</f>
        <v>0</v>
      </c>
      <c r="BJ40" s="458">
        <f>G40*H40</f>
        <v>0</v>
      </c>
      <c r="BK40" s="458" t="s">
        <v>484</v>
      </c>
      <c r="BL40" s="431">
        <v>728</v>
      </c>
    </row>
    <row r="41" spans="1:64" ht="12">
      <c r="A41" s="425" t="s">
        <v>502</v>
      </c>
      <c r="B41" s="426"/>
      <c r="C41" s="426" t="s">
        <v>4904</v>
      </c>
      <c r="D41" s="427" t="s">
        <v>4905</v>
      </c>
      <c r="E41" s="428"/>
      <c r="F41" s="426" t="s">
        <v>236</v>
      </c>
      <c r="G41" s="429">
        <v>4</v>
      </c>
      <c r="H41" s="429"/>
      <c r="I41" s="429">
        <f>G41*AO41</f>
        <v>0</v>
      </c>
      <c r="J41" s="429">
        <f>G41*AP41</f>
        <v>0</v>
      </c>
      <c r="K41" s="429">
        <f>G41*H41</f>
        <v>0</v>
      </c>
      <c r="L41" s="429">
        <v>0</v>
      </c>
      <c r="M41" s="429">
        <f>G41*L41</f>
        <v>0</v>
      </c>
      <c r="N41" s="430" t="s">
        <v>4702</v>
      </c>
      <c r="O41" s="383"/>
      <c r="Z41" s="431">
        <f>IF(AQ41="5",BJ41,0)</f>
        <v>0</v>
      </c>
      <c r="AB41" s="431">
        <f>IF(AQ41="1",BH41,0)</f>
        <v>0</v>
      </c>
      <c r="AC41" s="431">
        <f>IF(AQ41="1",BI41,0)</f>
        <v>0</v>
      </c>
      <c r="AD41" s="431">
        <f>IF(AQ41="7",BH41,0)</f>
        <v>0</v>
      </c>
      <c r="AE41" s="431">
        <f>IF(AQ41="7",BI41,0)</f>
        <v>0</v>
      </c>
      <c r="AF41" s="431">
        <f>IF(AQ41="2",BH41,0)</f>
        <v>0</v>
      </c>
      <c r="AG41" s="431">
        <f>IF(AQ41="2",BI41,0)</f>
        <v>0</v>
      </c>
      <c r="AH41" s="431">
        <f>IF(AQ41="0",BJ41,0)</f>
        <v>0</v>
      </c>
      <c r="AI41" s="405"/>
      <c r="AJ41" s="429">
        <f>IF(AN41=0,K41,0)</f>
        <v>0</v>
      </c>
      <c r="AK41" s="429">
        <f>IF(AN41=15,K41,0)</f>
        <v>0</v>
      </c>
      <c r="AL41" s="429">
        <f>IF(AN41=21,K41,0)</f>
        <v>0</v>
      </c>
      <c r="AN41" s="431">
        <v>21</v>
      </c>
      <c r="AO41" s="431">
        <f>H41*0</f>
        <v>0</v>
      </c>
      <c r="AP41" s="431">
        <f>H41*(1-0)</f>
        <v>0</v>
      </c>
      <c r="AQ41" s="432" t="s">
        <v>241</v>
      </c>
      <c r="AV41" s="431">
        <f>AW41+AX41</f>
        <v>0</v>
      </c>
      <c r="AW41" s="431">
        <f>G41*AO41</f>
        <v>0</v>
      </c>
      <c r="AX41" s="431">
        <f>G41*AP41</f>
        <v>0</v>
      </c>
      <c r="AY41" s="433" t="s">
        <v>4867</v>
      </c>
      <c r="AZ41" s="433" t="s">
        <v>4704</v>
      </c>
      <c r="BA41" s="405" t="s">
        <v>4705</v>
      </c>
      <c r="BC41" s="431">
        <f>AW41+AX41</f>
        <v>0</v>
      </c>
      <c r="BD41" s="431">
        <f>H41/(100-BE41)*100</f>
        <v>0</v>
      </c>
      <c r="BE41" s="431">
        <v>0</v>
      </c>
      <c r="BF41" s="431">
        <f>M41</f>
        <v>0</v>
      </c>
      <c r="BH41" s="429">
        <f>G41*AO41</f>
        <v>0</v>
      </c>
      <c r="BI41" s="429">
        <f>G41*AP41</f>
        <v>0</v>
      </c>
      <c r="BJ41" s="429">
        <f>G41*H41</f>
        <v>0</v>
      </c>
      <c r="BK41" s="429" t="s">
        <v>813</v>
      </c>
      <c r="BL41" s="431">
        <v>728</v>
      </c>
    </row>
    <row r="42" spans="1:15" ht="12">
      <c r="A42" s="383"/>
      <c r="C42" s="434" t="s">
        <v>4706</v>
      </c>
      <c r="D42" s="435" t="s">
        <v>4906</v>
      </c>
      <c r="E42" s="436"/>
      <c r="F42" s="436"/>
      <c r="G42" s="436"/>
      <c r="H42" s="436"/>
      <c r="I42" s="436"/>
      <c r="J42" s="436"/>
      <c r="K42" s="436"/>
      <c r="L42" s="436"/>
      <c r="M42" s="436"/>
      <c r="N42" s="437"/>
      <c r="O42" s="383"/>
    </row>
    <row r="43" spans="1:64" ht="12">
      <c r="A43" s="454" t="s">
        <v>504</v>
      </c>
      <c r="B43" s="455"/>
      <c r="C43" s="455" t="s">
        <v>4907</v>
      </c>
      <c r="D43" s="456" t="s">
        <v>4908</v>
      </c>
      <c r="E43" s="457"/>
      <c r="F43" s="455" t="s">
        <v>236</v>
      </c>
      <c r="G43" s="458">
        <v>2</v>
      </c>
      <c r="H43" s="458"/>
      <c r="I43" s="458">
        <f>G43*AO43</f>
        <v>0</v>
      </c>
      <c r="J43" s="458">
        <f>G43*AP43</f>
        <v>0</v>
      </c>
      <c r="K43" s="458">
        <f>G43*H43</f>
        <v>0</v>
      </c>
      <c r="L43" s="458">
        <v>0</v>
      </c>
      <c r="M43" s="458">
        <f>G43*L43</f>
        <v>0</v>
      </c>
      <c r="N43" s="459" t="s">
        <v>4702</v>
      </c>
      <c r="O43" s="383"/>
      <c r="Z43" s="431">
        <f>IF(AQ43="5",BJ43,0)</f>
        <v>0</v>
      </c>
      <c r="AB43" s="431">
        <f>IF(AQ43="1",BH43,0)</f>
        <v>0</v>
      </c>
      <c r="AC43" s="431">
        <f>IF(AQ43="1",BI43,0)</f>
        <v>0</v>
      </c>
      <c r="AD43" s="431">
        <f>IF(AQ43="7",BH43,0)</f>
        <v>0</v>
      </c>
      <c r="AE43" s="431">
        <f>IF(AQ43="7",BI43,0)</f>
        <v>0</v>
      </c>
      <c r="AF43" s="431">
        <f>IF(AQ43="2",BH43,0)</f>
        <v>0</v>
      </c>
      <c r="AG43" s="431">
        <f>IF(AQ43="2",BI43,0)</f>
        <v>0</v>
      </c>
      <c r="AH43" s="431">
        <f>IF(AQ43="0",BJ43,0)</f>
        <v>0</v>
      </c>
      <c r="AI43" s="405"/>
      <c r="AJ43" s="458">
        <f>IF(AN43=0,K43,0)</f>
        <v>0</v>
      </c>
      <c r="AK43" s="458">
        <f>IF(AN43=15,K43,0)</f>
        <v>0</v>
      </c>
      <c r="AL43" s="458">
        <f>IF(AN43=21,K43,0)</f>
        <v>0</v>
      </c>
      <c r="AN43" s="431">
        <v>21</v>
      </c>
      <c r="AO43" s="431">
        <f>H43*1</f>
        <v>0</v>
      </c>
      <c r="AP43" s="431">
        <f>H43*(1-1)</f>
        <v>0</v>
      </c>
      <c r="AQ43" s="460" t="s">
        <v>241</v>
      </c>
      <c r="AV43" s="431">
        <f>AW43+AX43</f>
        <v>0</v>
      </c>
      <c r="AW43" s="431">
        <f>G43*AO43</f>
        <v>0</v>
      </c>
      <c r="AX43" s="431">
        <f>G43*AP43</f>
        <v>0</v>
      </c>
      <c r="AY43" s="433" t="s">
        <v>4867</v>
      </c>
      <c r="AZ43" s="433" t="s">
        <v>4704</v>
      </c>
      <c r="BA43" s="405" t="s">
        <v>4705</v>
      </c>
      <c r="BC43" s="431">
        <f>AW43+AX43</f>
        <v>0</v>
      </c>
      <c r="BD43" s="431">
        <f>H43/(100-BE43)*100</f>
        <v>0</v>
      </c>
      <c r="BE43" s="431">
        <v>0</v>
      </c>
      <c r="BF43" s="431">
        <f>M43</f>
        <v>0</v>
      </c>
      <c r="BH43" s="458">
        <f>G43*AO43</f>
        <v>0</v>
      </c>
      <c r="BI43" s="458">
        <f>G43*AP43</f>
        <v>0</v>
      </c>
      <c r="BJ43" s="458">
        <f>G43*H43</f>
        <v>0</v>
      </c>
      <c r="BK43" s="458" t="s">
        <v>484</v>
      </c>
      <c r="BL43" s="431">
        <v>728</v>
      </c>
    </row>
    <row r="44" spans="1:64" ht="12">
      <c r="A44" s="454" t="s">
        <v>507</v>
      </c>
      <c r="B44" s="455"/>
      <c r="C44" s="455" t="s">
        <v>4909</v>
      </c>
      <c r="D44" s="456" t="s">
        <v>4910</v>
      </c>
      <c r="E44" s="457"/>
      <c r="F44" s="455" t="s">
        <v>236</v>
      </c>
      <c r="G44" s="458">
        <v>2</v>
      </c>
      <c r="H44" s="458"/>
      <c r="I44" s="458">
        <f>G44*AO44</f>
        <v>0</v>
      </c>
      <c r="J44" s="458">
        <f>G44*AP44</f>
        <v>0</v>
      </c>
      <c r="K44" s="458">
        <f>G44*H44</f>
        <v>0</v>
      </c>
      <c r="L44" s="458">
        <v>0.005</v>
      </c>
      <c r="M44" s="458">
        <f>G44*L44</f>
        <v>0.01</v>
      </c>
      <c r="N44" s="459" t="s">
        <v>4702</v>
      </c>
      <c r="O44" s="383"/>
      <c r="Z44" s="431">
        <f>IF(AQ44="5",BJ44,0)</f>
        <v>0</v>
      </c>
      <c r="AB44" s="431">
        <f>IF(AQ44="1",BH44,0)</f>
        <v>0</v>
      </c>
      <c r="AC44" s="431">
        <f>IF(AQ44="1",BI44,0)</f>
        <v>0</v>
      </c>
      <c r="AD44" s="431">
        <f>IF(AQ44="7",BH44,0)</f>
        <v>0</v>
      </c>
      <c r="AE44" s="431">
        <f>IF(AQ44="7",BI44,0)</f>
        <v>0</v>
      </c>
      <c r="AF44" s="431">
        <f>IF(AQ44="2",BH44,0)</f>
        <v>0</v>
      </c>
      <c r="AG44" s="431">
        <f>IF(AQ44="2",BI44,0)</f>
        <v>0</v>
      </c>
      <c r="AH44" s="431">
        <f>IF(AQ44="0",BJ44,0)</f>
        <v>0</v>
      </c>
      <c r="AI44" s="405"/>
      <c r="AJ44" s="458">
        <f>IF(AN44=0,K44,0)</f>
        <v>0</v>
      </c>
      <c r="AK44" s="458">
        <f>IF(AN44=15,K44,0)</f>
        <v>0</v>
      </c>
      <c r="AL44" s="458">
        <f>IF(AN44=21,K44,0)</f>
        <v>0</v>
      </c>
      <c r="AN44" s="431">
        <v>21</v>
      </c>
      <c r="AO44" s="431">
        <f>H44*1</f>
        <v>0</v>
      </c>
      <c r="AP44" s="431">
        <f>H44*(1-1)</f>
        <v>0</v>
      </c>
      <c r="AQ44" s="460" t="s">
        <v>241</v>
      </c>
      <c r="AV44" s="431">
        <f>AW44+AX44</f>
        <v>0</v>
      </c>
      <c r="AW44" s="431">
        <f>G44*AO44</f>
        <v>0</v>
      </c>
      <c r="AX44" s="431">
        <f>G44*AP44</f>
        <v>0</v>
      </c>
      <c r="AY44" s="433" t="s">
        <v>4867</v>
      </c>
      <c r="AZ44" s="433" t="s">
        <v>4704</v>
      </c>
      <c r="BA44" s="405" t="s">
        <v>4705</v>
      </c>
      <c r="BC44" s="431">
        <f>AW44+AX44</f>
        <v>0</v>
      </c>
      <c r="BD44" s="431">
        <f>H44/(100-BE44)*100</f>
        <v>0</v>
      </c>
      <c r="BE44" s="431">
        <v>0</v>
      </c>
      <c r="BF44" s="431">
        <f>M44</f>
        <v>0.01</v>
      </c>
      <c r="BH44" s="458">
        <f>G44*AO44</f>
        <v>0</v>
      </c>
      <c r="BI44" s="458">
        <f>G44*AP44</f>
        <v>0</v>
      </c>
      <c r="BJ44" s="458">
        <f>G44*H44</f>
        <v>0</v>
      </c>
      <c r="BK44" s="458" t="s">
        <v>484</v>
      </c>
      <c r="BL44" s="431">
        <v>728</v>
      </c>
    </row>
    <row r="45" spans="1:64" ht="12">
      <c r="A45" s="425" t="s">
        <v>509</v>
      </c>
      <c r="B45" s="426"/>
      <c r="C45" s="426" t="s">
        <v>4911</v>
      </c>
      <c r="D45" s="427" t="s">
        <v>4912</v>
      </c>
      <c r="E45" s="428"/>
      <c r="F45" s="426" t="s">
        <v>236</v>
      </c>
      <c r="G45" s="429">
        <v>4</v>
      </c>
      <c r="H45" s="429"/>
      <c r="I45" s="429">
        <f>G45*AO45</f>
        <v>0</v>
      </c>
      <c r="J45" s="429">
        <f>G45*AP45</f>
        <v>0</v>
      </c>
      <c r="K45" s="429">
        <f>G45*H45</f>
        <v>0</v>
      </c>
      <c r="L45" s="429">
        <v>0</v>
      </c>
      <c r="M45" s="429">
        <f>G45*L45</f>
        <v>0</v>
      </c>
      <c r="N45" s="430" t="s">
        <v>4702</v>
      </c>
      <c r="O45" s="383"/>
      <c r="Z45" s="431">
        <f>IF(AQ45="5",BJ45,0)</f>
        <v>0</v>
      </c>
      <c r="AB45" s="431">
        <f>IF(AQ45="1",BH45,0)</f>
        <v>0</v>
      </c>
      <c r="AC45" s="431">
        <f>IF(AQ45="1",BI45,0)</f>
        <v>0</v>
      </c>
      <c r="AD45" s="431">
        <f>IF(AQ45="7",BH45,0)</f>
        <v>0</v>
      </c>
      <c r="AE45" s="431">
        <f>IF(AQ45="7",BI45,0)</f>
        <v>0</v>
      </c>
      <c r="AF45" s="431">
        <f>IF(AQ45="2",BH45,0)</f>
        <v>0</v>
      </c>
      <c r="AG45" s="431">
        <f>IF(AQ45="2",BI45,0)</f>
        <v>0</v>
      </c>
      <c r="AH45" s="431">
        <f>IF(AQ45="0",BJ45,0)</f>
        <v>0</v>
      </c>
      <c r="AI45" s="405"/>
      <c r="AJ45" s="429">
        <f>IF(AN45=0,K45,0)</f>
        <v>0</v>
      </c>
      <c r="AK45" s="429">
        <f>IF(AN45=15,K45,0)</f>
        <v>0</v>
      </c>
      <c r="AL45" s="429">
        <f>IF(AN45=21,K45,0)</f>
        <v>0</v>
      </c>
      <c r="AN45" s="431">
        <v>21</v>
      </c>
      <c r="AO45" s="431">
        <f>H45*0</f>
        <v>0</v>
      </c>
      <c r="AP45" s="431">
        <f>H45*(1-0)</f>
        <v>0</v>
      </c>
      <c r="AQ45" s="432" t="s">
        <v>241</v>
      </c>
      <c r="AV45" s="431">
        <f>AW45+AX45</f>
        <v>0</v>
      </c>
      <c r="AW45" s="431">
        <f>G45*AO45</f>
        <v>0</v>
      </c>
      <c r="AX45" s="431">
        <f>G45*AP45</f>
        <v>0</v>
      </c>
      <c r="AY45" s="433" t="s">
        <v>4867</v>
      </c>
      <c r="AZ45" s="433" t="s">
        <v>4704</v>
      </c>
      <c r="BA45" s="405" t="s">
        <v>4705</v>
      </c>
      <c r="BC45" s="431">
        <f>AW45+AX45</f>
        <v>0</v>
      </c>
      <c r="BD45" s="431">
        <f>H45/(100-BE45)*100</f>
        <v>0</v>
      </c>
      <c r="BE45" s="431">
        <v>0</v>
      </c>
      <c r="BF45" s="431">
        <f>M45</f>
        <v>0</v>
      </c>
      <c r="BH45" s="429">
        <f>G45*AO45</f>
        <v>0</v>
      </c>
      <c r="BI45" s="429">
        <f>G45*AP45</f>
        <v>0</v>
      </c>
      <c r="BJ45" s="429">
        <f>G45*H45</f>
        <v>0</v>
      </c>
      <c r="BK45" s="429" t="s">
        <v>813</v>
      </c>
      <c r="BL45" s="431">
        <v>728</v>
      </c>
    </row>
    <row r="46" spans="1:15" ht="12">
      <c r="A46" s="383"/>
      <c r="C46" s="434" t="s">
        <v>4706</v>
      </c>
      <c r="D46" s="435" t="s">
        <v>4913</v>
      </c>
      <c r="E46" s="436"/>
      <c r="F46" s="436"/>
      <c r="G46" s="436"/>
      <c r="H46" s="436"/>
      <c r="I46" s="436"/>
      <c r="J46" s="436"/>
      <c r="K46" s="436"/>
      <c r="L46" s="436"/>
      <c r="M46" s="436"/>
      <c r="N46" s="437"/>
      <c r="O46" s="383"/>
    </row>
    <row r="47" spans="1:64" ht="12">
      <c r="A47" s="454" t="s">
        <v>512</v>
      </c>
      <c r="B47" s="455"/>
      <c r="C47" s="455" t="s">
        <v>4914</v>
      </c>
      <c r="D47" s="456" t="s">
        <v>4915</v>
      </c>
      <c r="E47" s="457"/>
      <c r="F47" s="455" t="s">
        <v>236</v>
      </c>
      <c r="G47" s="458">
        <v>2</v>
      </c>
      <c r="H47" s="458"/>
      <c r="I47" s="458">
        <f aca="true" t="shared" si="24" ref="I47:I52">G47*AO47</f>
        <v>0</v>
      </c>
      <c r="J47" s="458">
        <f aca="true" t="shared" si="25" ref="J47:J52">G47*AP47</f>
        <v>0</v>
      </c>
      <c r="K47" s="458">
        <f aca="true" t="shared" si="26" ref="K47:K52">G47*H47</f>
        <v>0</v>
      </c>
      <c r="L47" s="458">
        <v>0</v>
      </c>
      <c r="M47" s="458">
        <f aca="true" t="shared" si="27" ref="M47:M52">G47*L47</f>
        <v>0</v>
      </c>
      <c r="N47" s="459" t="s">
        <v>4702</v>
      </c>
      <c r="O47" s="383"/>
      <c r="Z47" s="431">
        <f aca="true" t="shared" si="28" ref="Z47:Z52">IF(AQ47="5",BJ47,0)</f>
        <v>0</v>
      </c>
      <c r="AB47" s="431">
        <f aca="true" t="shared" si="29" ref="AB47:AB52">IF(AQ47="1",BH47,0)</f>
        <v>0</v>
      </c>
      <c r="AC47" s="431">
        <f aca="true" t="shared" si="30" ref="AC47:AC52">IF(AQ47="1",BI47,0)</f>
        <v>0</v>
      </c>
      <c r="AD47" s="431">
        <f aca="true" t="shared" si="31" ref="AD47:AD52">IF(AQ47="7",BH47,0)</f>
        <v>0</v>
      </c>
      <c r="AE47" s="431">
        <f aca="true" t="shared" si="32" ref="AE47:AE52">IF(AQ47="7",BI47,0)</f>
        <v>0</v>
      </c>
      <c r="AF47" s="431">
        <f aca="true" t="shared" si="33" ref="AF47:AF52">IF(AQ47="2",BH47,0)</f>
        <v>0</v>
      </c>
      <c r="AG47" s="431">
        <f aca="true" t="shared" si="34" ref="AG47:AG52">IF(AQ47="2",BI47,0)</f>
        <v>0</v>
      </c>
      <c r="AH47" s="431">
        <f aca="true" t="shared" si="35" ref="AH47:AH52">IF(AQ47="0",BJ47,0)</f>
        <v>0</v>
      </c>
      <c r="AI47" s="405"/>
      <c r="AJ47" s="458">
        <f aca="true" t="shared" si="36" ref="AJ47:AJ52">IF(AN47=0,K47,0)</f>
        <v>0</v>
      </c>
      <c r="AK47" s="458">
        <f aca="true" t="shared" si="37" ref="AK47:AK52">IF(AN47=15,K47,0)</f>
        <v>0</v>
      </c>
      <c r="AL47" s="458">
        <f aca="true" t="shared" si="38" ref="AL47:AL52">IF(AN47=21,K47,0)</f>
        <v>0</v>
      </c>
      <c r="AN47" s="431">
        <v>21</v>
      </c>
      <c r="AO47" s="431">
        <f>H47*1</f>
        <v>0</v>
      </c>
      <c r="AP47" s="431">
        <f>H47*(1-1)</f>
        <v>0</v>
      </c>
      <c r="AQ47" s="460" t="s">
        <v>241</v>
      </c>
      <c r="AV47" s="431">
        <f aca="true" t="shared" si="39" ref="AV47:AV52">AW47+AX47</f>
        <v>0</v>
      </c>
      <c r="AW47" s="431">
        <f aca="true" t="shared" si="40" ref="AW47:AW52">G47*AO47</f>
        <v>0</v>
      </c>
      <c r="AX47" s="431">
        <f aca="true" t="shared" si="41" ref="AX47:AX52">G47*AP47</f>
        <v>0</v>
      </c>
      <c r="AY47" s="433" t="s">
        <v>4867</v>
      </c>
      <c r="AZ47" s="433" t="s">
        <v>4704</v>
      </c>
      <c r="BA47" s="405" t="s">
        <v>4705</v>
      </c>
      <c r="BC47" s="431">
        <f aca="true" t="shared" si="42" ref="BC47:BC52">AW47+AX47</f>
        <v>0</v>
      </c>
      <c r="BD47" s="431">
        <f aca="true" t="shared" si="43" ref="BD47:BD52">H47/(100-BE47)*100</f>
        <v>0</v>
      </c>
      <c r="BE47" s="431">
        <v>0</v>
      </c>
      <c r="BF47" s="431">
        <f aca="true" t="shared" si="44" ref="BF47:BF52">M47</f>
        <v>0</v>
      </c>
      <c r="BH47" s="458">
        <f aca="true" t="shared" si="45" ref="BH47:BH52">G47*AO47</f>
        <v>0</v>
      </c>
      <c r="BI47" s="458">
        <f aca="true" t="shared" si="46" ref="BI47:BI52">G47*AP47</f>
        <v>0</v>
      </c>
      <c r="BJ47" s="458">
        <f aca="true" t="shared" si="47" ref="BJ47:BJ52">G47*H47</f>
        <v>0</v>
      </c>
      <c r="BK47" s="458" t="s">
        <v>484</v>
      </c>
      <c r="BL47" s="431">
        <v>728</v>
      </c>
    </row>
    <row r="48" spans="1:64" ht="12">
      <c r="A48" s="454" t="s">
        <v>520</v>
      </c>
      <c r="B48" s="455"/>
      <c r="C48" s="455" t="s">
        <v>4916</v>
      </c>
      <c r="D48" s="456" t="s">
        <v>4917</v>
      </c>
      <c r="E48" s="457"/>
      <c r="F48" s="455" t="s">
        <v>236</v>
      </c>
      <c r="G48" s="458">
        <v>2</v>
      </c>
      <c r="H48" s="458"/>
      <c r="I48" s="458">
        <f t="shared" si="24"/>
        <v>0</v>
      </c>
      <c r="J48" s="458">
        <f t="shared" si="25"/>
        <v>0</v>
      </c>
      <c r="K48" s="458">
        <f t="shared" si="26"/>
        <v>0</v>
      </c>
      <c r="L48" s="458">
        <v>0</v>
      </c>
      <c r="M48" s="458">
        <f t="shared" si="27"/>
        <v>0</v>
      </c>
      <c r="N48" s="459" t="s">
        <v>4702</v>
      </c>
      <c r="O48" s="383"/>
      <c r="Z48" s="431">
        <f t="shared" si="28"/>
        <v>0</v>
      </c>
      <c r="AB48" s="431">
        <f t="shared" si="29"/>
        <v>0</v>
      </c>
      <c r="AC48" s="431">
        <f t="shared" si="30"/>
        <v>0</v>
      </c>
      <c r="AD48" s="431">
        <f t="shared" si="31"/>
        <v>0</v>
      </c>
      <c r="AE48" s="431">
        <f t="shared" si="32"/>
        <v>0</v>
      </c>
      <c r="AF48" s="431">
        <f t="shared" si="33"/>
        <v>0</v>
      </c>
      <c r="AG48" s="431">
        <f t="shared" si="34"/>
        <v>0</v>
      </c>
      <c r="AH48" s="431">
        <f t="shared" si="35"/>
        <v>0</v>
      </c>
      <c r="AI48" s="405"/>
      <c r="AJ48" s="458">
        <f t="shared" si="36"/>
        <v>0</v>
      </c>
      <c r="AK48" s="458">
        <f t="shared" si="37"/>
        <v>0</v>
      </c>
      <c r="AL48" s="458">
        <f t="shared" si="38"/>
        <v>0</v>
      </c>
      <c r="AN48" s="431">
        <v>21</v>
      </c>
      <c r="AO48" s="431">
        <f>H48*1</f>
        <v>0</v>
      </c>
      <c r="AP48" s="431">
        <f>H48*(1-1)</f>
        <v>0</v>
      </c>
      <c r="AQ48" s="460" t="s">
        <v>241</v>
      </c>
      <c r="AV48" s="431">
        <f t="shared" si="39"/>
        <v>0</v>
      </c>
      <c r="AW48" s="431">
        <f t="shared" si="40"/>
        <v>0</v>
      </c>
      <c r="AX48" s="431">
        <f t="shared" si="41"/>
        <v>0</v>
      </c>
      <c r="AY48" s="433" t="s">
        <v>4867</v>
      </c>
      <c r="AZ48" s="433" t="s">
        <v>4704</v>
      </c>
      <c r="BA48" s="405" t="s">
        <v>4705</v>
      </c>
      <c r="BC48" s="431">
        <f t="shared" si="42"/>
        <v>0</v>
      </c>
      <c r="BD48" s="431">
        <f t="shared" si="43"/>
        <v>0</v>
      </c>
      <c r="BE48" s="431">
        <v>0</v>
      </c>
      <c r="BF48" s="431">
        <f t="shared" si="44"/>
        <v>0</v>
      </c>
      <c r="BH48" s="458">
        <f t="shared" si="45"/>
        <v>0</v>
      </c>
      <c r="BI48" s="458">
        <f t="shared" si="46"/>
        <v>0</v>
      </c>
      <c r="BJ48" s="458">
        <f t="shared" si="47"/>
        <v>0</v>
      </c>
      <c r="BK48" s="458" t="s">
        <v>484</v>
      </c>
      <c r="BL48" s="431">
        <v>728</v>
      </c>
    </row>
    <row r="49" spans="1:64" ht="12">
      <c r="A49" s="425" t="s">
        <v>527</v>
      </c>
      <c r="B49" s="426"/>
      <c r="C49" s="426" t="s">
        <v>4918</v>
      </c>
      <c r="D49" s="427" t="s">
        <v>4919</v>
      </c>
      <c r="E49" s="428"/>
      <c r="F49" s="426" t="s">
        <v>236</v>
      </c>
      <c r="G49" s="429">
        <v>2</v>
      </c>
      <c r="H49" s="429"/>
      <c r="I49" s="429">
        <f t="shared" si="24"/>
        <v>0</v>
      </c>
      <c r="J49" s="429">
        <f t="shared" si="25"/>
        <v>0</v>
      </c>
      <c r="K49" s="429">
        <f t="shared" si="26"/>
        <v>0</v>
      </c>
      <c r="L49" s="429">
        <v>0</v>
      </c>
      <c r="M49" s="429">
        <f t="shared" si="27"/>
        <v>0</v>
      </c>
      <c r="N49" s="430" t="s">
        <v>4702</v>
      </c>
      <c r="O49" s="383"/>
      <c r="Z49" s="431">
        <f t="shared" si="28"/>
        <v>0</v>
      </c>
      <c r="AB49" s="431">
        <f t="shared" si="29"/>
        <v>0</v>
      </c>
      <c r="AC49" s="431">
        <f t="shared" si="30"/>
        <v>0</v>
      </c>
      <c r="AD49" s="431">
        <f t="shared" si="31"/>
        <v>0</v>
      </c>
      <c r="AE49" s="431">
        <f t="shared" si="32"/>
        <v>0</v>
      </c>
      <c r="AF49" s="431">
        <f t="shared" si="33"/>
        <v>0</v>
      </c>
      <c r="AG49" s="431">
        <f t="shared" si="34"/>
        <v>0</v>
      </c>
      <c r="AH49" s="431">
        <f t="shared" si="35"/>
        <v>0</v>
      </c>
      <c r="AI49" s="405"/>
      <c r="AJ49" s="429">
        <f t="shared" si="36"/>
        <v>0</v>
      </c>
      <c r="AK49" s="429">
        <f t="shared" si="37"/>
        <v>0</v>
      </c>
      <c r="AL49" s="429">
        <f t="shared" si="38"/>
        <v>0</v>
      </c>
      <c r="AN49" s="431">
        <v>21</v>
      </c>
      <c r="AO49" s="431">
        <f>H49*0</f>
        <v>0</v>
      </c>
      <c r="AP49" s="431">
        <f>H49*(1-0)</f>
        <v>0</v>
      </c>
      <c r="AQ49" s="432" t="s">
        <v>241</v>
      </c>
      <c r="AV49" s="431">
        <f t="shared" si="39"/>
        <v>0</v>
      </c>
      <c r="AW49" s="431">
        <f t="shared" si="40"/>
        <v>0</v>
      </c>
      <c r="AX49" s="431">
        <f t="shared" si="41"/>
        <v>0</v>
      </c>
      <c r="AY49" s="433" t="s">
        <v>4867</v>
      </c>
      <c r="AZ49" s="433" t="s">
        <v>4704</v>
      </c>
      <c r="BA49" s="405" t="s">
        <v>4705</v>
      </c>
      <c r="BC49" s="431">
        <f t="shared" si="42"/>
        <v>0</v>
      </c>
      <c r="BD49" s="431">
        <f t="shared" si="43"/>
        <v>0</v>
      </c>
      <c r="BE49" s="431">
        <v>0</v>
      </c>
      <c r="BF49" s="431">
        <f t="shared" si="44"/>
        <v>0</v>
      </c>
      <c r="BH49" s="429">
        <f t="shared" si="45"/>
        <v>0</v>
      </c>
      <c r="BI49" s="429">
        <f t="shared" si="46"/>
        <v>0</v>
      </c>
      <c r="BJ49" s="429">
        <f t="shared" si="47"/>
        <v>0</v>
      </c>
      <c r="BK49" s="429" t="s">
        <v>813</v>
      </c>
      <c r="BL49" s="431">
        <v>728</v>
      </c>
    </row>
    <row r="50" spans="1:64" ht="12">
      <c r="A50" s="454" t="s">
        <v>537</v>
      </c>
      <c r="B50" s="455"/>
      <c r="C50" s="455" t="s">
        <v>4920</v>
      </c>
      <c r="D50" s="456" t="s">
        <v>4921</v>
      </c>
      <c r="E50" s="457"/>
      <c r="F50" s="455" t="s">
        <v>236</v>
      </c>
      <c r="G50" s="458">
        <v>2</v>
      </c>
      <c r="H50" s="458"/>
      <c r="I50" s="458">
        <f t="shared" si="24"/>
        <v>0</v>
      </c>
      <c r="J50" s="458">
        <f t="shared" si="25"/>
        <v>0</v>
      </c>
      <c r="K50" s="458">
        <f t="shared" si="26"/>
        <v>0</v>
      </c>
      <c r="L50" s="458">
        <v>0.002</v>
      </c>
      <c r="M50" s="458">
        <f t="shared" si="27"/>
        <v>0.004</v>
      </c>
      <c r="N50" s="459" t="s">
        <v>4702</v>
      </c>
      <c r="O50" s="383"/>
      <c r="Z50" s="431">
        <f t="shared" si="28"/>
        <v>0</v>
      </c>
      <c r="AB50" s="431">
        <f t="shared" si="29"/>
        <v>0</v>
      </c>
      <c r="AC50" s="431">
        <f t="shared" si="30"/>
        <v>0</v>
      </c>
      <c r="AD50" s="431">
        <f t="shared" si="31"/>
        <v>0</v>
      </c>
      <c r="AE50" s="431">
        <f t="shared" si="32"/>
        <v>0</v>
      </c>
      <c r="AF50" s="431">
        <f t="shared" si="33"/>
        <v>0</v>
      </c>
      <c r="AG50" s="431">
        <f t="shared" si="34"/>
        <v>0</v>
      </c>
      <c r="AH50" s="431">
        <f t="shared" si="35"/>
        <v>0</v>
      </c>
      <c r="AI50" s="405"/>
      <c r="AJ50" s="458">
        <f t="shared" si="36"/>
        <v>0</v>
      </c>
      <c r="AK50" s="458">
        <f t="shared" si="37"/>
        <v>0</v>
      </c>
      <c r="AL50" s="458">
        <f t="shared" si="38"/>
        <v>0</v>
      </c>
      <c r="AN50" s="431">
        <v>21</v>
      </c>
      <c r="AO50" s="431">
        <f>H50*1</f>
        <v>0</v>
      </c>
      <c r="AP50" s="431">
        <f>H50*(1-1)</f>
        <v>0</v>
      </c>
      <c r="AQ50" s="460" t="s">
        <v>241</v>
      </c>
      <c r="AV50" s="431">
        <f t="shared" si="39"/>
        <v>0</v>
      </c>
      <c r="AW50" s="431">
        <f t="shared" si="40"/>
        <v>0</v>
      </c>
      <c r="AX50" s="431">
        <f t="shared" si="41"/>
        <v>0</v>
      </c>
      <c r="AY50" s="433" t="s">
        <v>4867</v>
      </c>
      <c r="AZ50" s="433" t="s">
        <v>4704</v>
      </c>
      <c r="BA50" s="405" t="s">
        <v>4705</v>
      </c>
      <c r="BC50" s="431">
        <f t="shared" si="42"/>
        <v>0</v>
      </c>
      <c r="BD50" s="431">
        <f t="shared" si="43"/>
        <v>0</v>
      </c>
      <c r="BE50" s="431">
        <v>0</v>
      </c>
      <c r="BF50" s="431">
        <f t="shared" si="44"/>
        <v>0.004</v>
      </c>
      <c r="BH50" s="458">
        <f t="shared" si="45"/>
        <v>0</v>
      </c>
      <c r="BI50" s="458">
        <f t="shared" si="46"/>
        <v>0</v>
      </c>
      <c r="BJ50" s="458">
        <f t="shared" si="47"/>
        <v>0</v>
      </c>
      <c r="BK50" s="458" t="s">
        <v>484</v>
      </c>
      <c r="BL50" s="431">
        <v>728</v>
      </c>
    </row>
    <row r="51" spans="1:64" ht="12">
      <c r="A51" s="454" t="s">
        <v>756</v>
      </c>
      <c r="B51" s="455"/>
      <c r="C51" s="455" t="s">
        <v>4922</v>
      </c>
      <c r="D51" s="456" t="s">
        <v>4923</v>
      </c>
      <c r="E51" s="457"/>
      <c r="F51" s="455" t="s">
        <v>236</v>
      </c>
      <c r="G51" s="458">
        <v>2</v>
      </c>
      <c r="H51" s="458"/>
      <c r="I51" s="458">
        <f t="shared" si="24"/>
        <v>0</v>
      </c>
      <c r="J51" s="458">
        <f t="shared" si="25"/>
        <v>0</v>
      </c>
      <c r="K51" s="458">
        <f t="shared" si="26"/>
        <v>0</v>
      </c>
      <c r="L51" s="458">
        <v>0.002</v>
      </c>
      <c r="M51" s="458">
        <f t="shared" si="27"/>
        <v>0.004</v>
      </c>
      <c r="N51" s="459" t="s">
        <v>4702</v>
      </c>
      <c r="O51" s="383"/>
      <c r="Z51" s="431">
        <f t="shared" si="28"/>
        <v>0</v>
      </c>
      <c r="AB51" s="431">
        <f t="shared" si="29"/>
        <v>0</v>
      </c>
      <c r="AC51" s="431">
        <f t="shared" si="30"/>
        <v>0</v>
      </c>
      <c r="AD51" s="431">
        <f t="shared" si="31"/>
        <v>0</v>
      </c>
      <c r="AE51" s="431">
        <f t="shared" si="32"/>
        <v>0</v>
      </c>
      <c r="AF51" s="431">
        <f t="shared" si="33"/>
        <v>0</v>
      </c>
      <c r="AG51" s="431">
        <f t="shared" si="34"/>
        <v>0</v>
      </c>
      <c r="AH51" s="431">
        <f t="shared" si="35"/>
        <v>0</v>
      </c>
      <c r="AI51" s="405"/>
      <c r="AJ51" s="458">
        <f t="shared" si="36"/>
        <v>0</v>
      </c>
      <c r="AK51" s="458">
        <f t="shared" si="37"/>
        <v>0</v>
      </c>
      <c r="AL51" s="458">
        <f t="shared" si="38"/>
        <v>0</v>
      </c>
      <c r="AN51" s="431">
        <v>21</v>
      </c>
      <c r="AO51" s="431">
        <f>H51*1</f>
        <v>0</v>
      </c>
      <c r="AP51" s="431">
        <f>H51*(1-1)</f>
        <v>0</v>
      </c>
      <c r="AQ51" s="460" t="s">
        <v>241</v>
      </c>
      <c r="AV51" s="431">
        <f t="shared" si="39"/>
        <v>0</v>
      </c>
      <c r="AW51" s="431">
        <f t="shared" si="40"/>
        <v>0</v>
      </c>
      <c r="AX51" s="431">
        <f t="shared" si="41"/>
        <v>0</v>
      </c>
      <c r="AY51" s="433" t="s">
        <v>4867</v>
      </c>
      <c r="AZ51" s="433" t="s">
        <v>4704</v>
      </c>
      <c r="BA51" s="405" t="s">
        <v>4705</v>
      </c>
      <c r="BC51" s="431">
        <f t="shared" si="42"/>
        <v>0</v>
      </c>
      <c r="BD51" s="431">
        <f t="shared" si="43"/>
        <v>0</v>
      </c>
      <c r="BE51" s="431">
        <v>0</v>
      </c>
      <c r="BF51" s="431">
        <f t="shared" si="44"/>
        <v>0.004</v>
      </c>
      <c r="BH51" s="458">
        <f t="shared" si="45"/>
        <v>0</v>
      </c>
      <c r="BI51" s="458">
        <f t="shared" si="46"/>
        <v>0</v>
      </c>
      <c r="BJ51" s="458">
        <f t="shared" si="47"/>
        <v>0</v>
      </c>
      <c r="BK51" s="458" t="s">
        <v>484</v>
      </c>
      <c r="BL51" s="431">
        <v>728</v>
      </c>
    </row>
    <row r="52" spans="1:64" ht="12">
      <c r="A52" s="425" t="s">
        <v>763</v>
      </c>
      <c r="B52" s="426"/>
      <c r="C52" s="426" t="s">
        <v>4924</v>
      </c>
      <c r="D52" s="427" t="s">
        <v>4925</v>
      </c>
      <c r="E52" s="428"/>
      <c r="F52" s="426" t="s">
        <v>236</v>
      </c>
      <c r="G52" s="429">
        <v>17</v>
      </c>
      <c r="H52" s="429"/>
      <c r="I52" s="429">
        <f t="shared" si="24"/>
        <v>0</v>
      </c>
      <c r="J52" s="429">
        <f t="shared" si="25"/>
        <v>0</v>
      </c>
      <c r="K52" s="429">
        <f t="shared" si="26"/>
        <v>0</v>
      </c>
      <c r="L52" s="429">
        <v>0</v>
      </c>
      <c r="M52" s="429">
        <f t="shared" si="27"/>
        <v>0</v>
      </c>
      <c r="N52" s="430" t="s">
        <v>4702</v>
      </c>
      <c r="O52" s="383"/>
      <c r="Z52" s="431">
        <f t="shared" si="28"/>
        <v>0</v>
      </c>
      <c r="AB52" s="431">
        <f t="shared" si="29"/>
        <v>0</v>
      </c>
      <c r="AC52" s="431">
        <f t="shared" si="30"/>
        <v>0</v>
      </c>
      <c r="AD52" s="431">
        <f t="shared" si="31"/>
        <v>0</v>
      </c>
      <c r="AE52" s="431">
        <f t="shared" si="32"/>
        <v>0</v>
      </c>
      <c r="AF52" s="431">
        <f t="shared" si="33"/>
        <v>0</v>
      </c>
      <c r="AG52" s="431">
        <f t="shared" si="34"/>
        <v>0</v>
      </c>
      <c r="AH52" s="431">
        <f t="shared" si="35"/>
        <v>0</v>
      </c>
      <c r="AI52" s="405"/>
      <c r="AJ52" s="429">
        <f t="shared" si="36"/>
        <v>0</v>
      </c>
      <c r="AK52" s="429">
        <f t="shared" si="37"/>
        <v>0</v>
      </c>
      <c r="AL52" s="429">
        <f t="shared" si="38"/>
        <v>0</v>
      </c>
      <c r="AN52" s="431">
        <v>21</v>
      </c>
      <c r="AO52" s="431">
        <f>H52*0</f>
        <v>0</v>
      </c>
      <c r="AP52" s="431">
        <f>H52*(1-0)</f>
        <v>0</v>
      </c>
      <c r="AQ52" s="432" t="s">
        <v>241</v>
      </c>
      <c r="AV52" s="431">
        <f t="shared" si="39"/>
        <v>0</v>
      </c>
      <c r="AW52" s="431">
        <f t="shared" si="40"/>
        <v>0</v>
      </c>
      <c r="AX52" s="431">
        <f t="shared" si="41"/>
        <v>0</v>
      </c>
      <c r="AY52" s="433" t="s">
        <v>4867</v>
      </c>
      <c r="AZ52" s="433" t="s">
        <v>4704</v>
      </c>
      <c r="BA52" s="405" t="s">
        <v>4705</v>
      </c>
      <c r="BC52" s="431">
        <f t="shared" si="42"/>
        <v>0</v>
      </c>
      <c r="BD52" s="431">
        <f t="shared" si="43"/>
        <v>0</v>
      </c>
      <c r="BE52" s="431">
        <v>0</v>
      </c>
      <c r="BF52" s="431">
        <f t="shared" si="44"/>
        <v>0</v>
      </c>
      <c r="BH52" s="429">
        <f t="shared" si="45"/>
        <v>0</v>
      </c>
      <c r="BI52" s="429">
        <f t="shared" si="46"/>
        <v>0</v>
      </c>
      <c r="BJ52" s="429">
        <f t="shared" si="47"/>
        <v>0</v>
      </c>
      <c r="BK52" s="429" t="s">
        <v>813</v>
      </c>
      <c r="BL52" s="431">
        <v>728</v>
      </c>
    </row>
    <row r="53" spans="1:15" ht="12">
      <c r="A53" s="383"/>
      <c r="C53" s="434" t="s">
        <v>4706</v>
      </c>
      <c r="D53" s="435" t="s">
        <v>4926</v>
      </c>
      <c r="E53" s="436"/>
      <c r="F53" s="436"/>
      <c r="G53" s="436"/>
      <c r="H53" s="436"/>
      <c r="I53" s="436"/>
      <c r="J53" s="436"/>
      <c r="K53" s="436"/>
      <c r="L53" s="436"/>
      <c r="M53" s="436"/>
      <c r="N53" s="437"/>
      <c r="O53" s="383"/>
    </row>
    <row r="54" spans="1:64" ht="12">
      <c r="A54" s="454" t="s">
        <v>771</v>
      </c>
      <c r="B54" s="455"/>
      <c r="C54" s="455" t="s">
        <v>4927</v>
      </c>
      <c r="D54" s="456" t="s">
        <v>4928</v>
      </c>
      <c r="E54" s="457"/>
      <c r="F54" s="455" t="s">
        <v>236</v>
      </c>
      <c r="G54" s="458">
        <v>17</v>
      </c>
      <c r="H54" s="458"/>
      <c r="I54" s="458">
        <f>G54*AO54</f>
        <v>0</v>
      </c>
      <c r="J54" s="458">
        <f>G54*AP54</f>
        <v>0</v>
      </c>
      <c r="K54" s="458">
        <f>G54*H54</f>
        <v>0</v>
      </c>
      <c r="L54" s="458">
        <v>0.001</v>
      </c>
      <c r="M54" s="458">
        <f>G54*L54</f>
        <v>0.017</v>
      </c>
      <c r="N54" s="459" t="s">
        <v>4702</v>
      </c>
      <c r="O54" s="383"/>
      <c r="Z54" s="431">
        <f>IF(AQ54="5",BJ54,0)</f>
        <v>0</v>
      </c>
      <c r="AB54" s="431">
        <f>IF(AQ54="1",BH54,0)</f>
        <v>0</v>
      </c>
      <c r="AC54" s="431">
        <f>IF(AQ54="1",BI54,0)</f>
        <v>0</v>
      </c>
      <c r="AD54" s="431">
        <f>IF(AQ54="7",BH54,0)</f>
        <v>0</v>
      </c>
      <c r="AE54" s="431">
        <f>IF(AQ54="7",BI54,0)</f>
        <v>0</v>
      </c>
      <c r="AF54" s="431">
        <f>IF(AQ54="2",BH54,0)</f>
        <v>0</v>
      </c>
      <c r="AG54" s="431">
        <f>IF(AQ54="2",BI54,0)</f>
        <v>0</v>
      </c>
      <c r="AH54" s="431">
        <f>IF(AQ54="0",BJ54,0)</f>
        <v>0</v>
      </c>
      <c r="AI54" s="405"/>
      <c r="AJ54" s="458">
        <f>IF(AN54=0,K54,0)</f>
        <v>0</v>
      </c>
      <c r="AK54" s="458">
        <f>IF(AN54=15,K54,0)</f>
        <v>0</v>
      </c>
      <c r="AL54" s="458">
        <f>IF(AN54=21,K54,0)</f>
        <v>0</v>
      </c>
      <c r="AN54" s="431">
        <v>21</v>
      </c>
      <c r="AO54" s="431">
        <f>H54*1</f>
        <v>0</v>
      </c>
      <c r="AP54" s="431">
        <f>H54*(1-1)</f>
        <v>0</v>
      </c>
      <c r="AQ54" s="460" t="s">
        <v>241</v>
      </c>
      <c r="AV54" s="431">
        <f>AW54+AX54</f>
        <v>0</v>
      </c>
      <c r="AW54" s="431">
        <f>G54*AO54</f>
        <v>0</v>
      </c>
      <c r="AX54" s="431">
        <f>G54*AP54</f>
        <v>0</v>
      </c>
      <c r="AY54" s="433" t="s">
        <v>4867</v>
      </c>
      <c r="AZ54" s="433" t="s">
        <v>4704</v>
      </c>
      <c r="BA54" s="405" t="s">
        <v>4705</v>
      </c>
      <c r="BC54" s="431">
        <f>AW54+AX54</f>
        <v>0</v>
      </c>
      <c r="BD54" s="431">
        <f>H54/(100-BE54)*100</f>
        <v>0</v>
      </c>
      <c r="BE54" s="431">
        <v>0</v>
      </c>
      <c r="BF54" s="431">
        <f>M54</f>
        <v>0.017</v>
      </c>
      <c r="BH54" s="458">
        <f>G54*AO54</f>
        <v>0</v>
      </c>
      <c r="BI54" s="458">
        <f>G54*AP54</f>
        <v>0</v>
      </c>
      <c r="BJ54" s="458">
        <f>G54*H54</f>
        <v>0</v>
      </c>
      <c r="BK54" s="458" t="s">
        <v>484</v>
      </c>
      <c r="BL54" s="431">
        <v>728</v>
      </c>
    </row>
    <row r="55" spans="1:64" ht="12">
      <c r="A55" s="425" t="s">
        <v>780</v>
      </c>
      <c r="B55" s="426"/>
      <c r="C55" s="426" t="s">
        <v>4929</v>
      </c>
      <c r="D55" s="427" t="s">
        <v>4930</v>
      </c>
      <c r="E55" s="428"/>
      <c r="F55" s="426" t="s">
        <v>236</v>
      </c>
      <c r="G55" s="429">
        <v>40</v>
      </c>
      <c r="H55" s="429"/>
      <c r="I55" s="429">
        <f>G55*AO55</f>
        <v>0</v>
      </c>
      <c r="J55" s="429">
        <f>G55*AP55</f>
        <v>0</v>
      </c>
      <c r="K55" s="429">
        <f>G55*H55</f>
        <v>0</v>
      </c>
      <c r="L55" s="429">
        <v>0</v>
      </c>
      <c r="M55" s="429">
        <f>G55*L55</f>
        <v>0</v>
      </c>
      <c r="N55" s="430" t="s">
        <v>4702</v>
      </c>
      <c r="O55" s="383"/>
      <c r="Z55" s="431">
        <f>IF(AQ55="5",BJ55,0)</f>
        <v>0</v>
      </c>
      <c r="AB55" s="431">
        <f>IF(AQ55="1",BH55,0)</f>
        <v>0</v>
      </c>
      <c r="AC55" s="431">
        <f>IF(AQ55="1",BI55,0)</f>
        <v>0</v>
      </c>
      <c r="AD55" s="431">
        <f>IF(AQ55="7",BH55,0)</f>
        <v>0</v>
      </c>
      <c r="AE55" s="431">
        <f>IF(AQ55="7",BI55,0)</f>
        <v>0</v>
      </c>
      <c r="AF55" s="431">
        <f>IF(AQ55="2",BH55,0)</f>
        <v>0</v>
      </c>
      <c r="AG55" s="431">
        <f>IF(AQ55="2",BI55,0)</f>
        <v>0</v>
      </c>
      <c r="AH55" s="431">
        <f>IF(AQ55="0",BJ55,0)</f>
        <v>0</v>
      </c>
      <c r="AI55" s="405"/>
      <c r="AJ55" s="429">
        <f>IF(AN55=0,K55,0)</f>
        <v>0</v>
      </c>
      <c r="AK55" s="429">
        <f>IF(AN55=15,K55,0)</f>
        <v>0</v>
      </c>
      <c r="AL55" s="429">
        <f>IF(AN55=21,K55,0)</f>
        <v>0</v>
      </c>
      <c r="AN55" s="431">
        <v>21</v>
      </c>
      <c r="AO55" s="431">
        <f>H55*0</f>
        <v>0</v>
      </c>
      <c r="AP55" s="431">
        <f>H55*(1-0)</f>
        <v>0</v>
      </c>
      <c r="AQ55" s="432" t="s">
        <v>241</v>
      </c>
      <c r="AV55" s="431">
        <f>AW55+AX55</f>
        <v>0</v>
      </c>
      <c r="AW55" s="431">
        <f>G55*AO55</f>
        <v>0</v>
      </c>
      <c r="AX55" s="431">
        <f>G55*AP55</f>
        <v>0</v>
      </c>
      <c r="AY55" s="433" t="s">
        <v>4867</v>
      </c>
      <c r="AZ55" s="433" t="s">
        <v>4704</v>
      </c>
      <c r="BA55" s="405" t="s">
        <v>4705</v>
      </c>
      <c r="BC55" s="431">
        <f>AW55+AX55</f>
        <v>0</v>
      </c>
      <c r="BD55" s="431">
        <f>H55/(100-BE55)*100</f>
        <v>0</v>
      </c>
      <c r="BE55" s="431">
        <v>0</v>
      </c>
      <c r="BF55" s="431">
        <f>M55</f>
        <v>0</v>
      </c>
      <c r="BH55" s="429">
        <f>G55*AO55</f>
        <v>0</v>
      </c>
      <c r="BI55" s="429">
        <f>G55*AP55</f>
        <v>0</v>
      </c>
      <c r="BJ55" s="429">
        <f>G55*H55</f>
        <v>0</v>
      </c>
      <c r="BK55" s="429" t="s">
        <v>813</v>
      </c>
      <c r="BL55" s="431">
        <v>728</v>
      </c>
    </row>
    <row r="56" spans="1:15" ht="12">
      <c r="A56" s="383"/>
      <c r="C56" s="434" t="s">
        <v>4706</v>
      </c>
      <c r="D56" s="435" t="s">
        <v>4931</v>
      </c>
      <c r="E56" s="436"/>
      <c r="F56" s="436"/>
      <c r="G56" s="436"/>
      <c r="H56" s="436"/>
      <c r="I56" s="436"/>
      <c r="J56" s="436"/>
      <c r="K56" s="436"/>
      <c r="L56" s="436"/>
      <c r="M56" s="436"/>
      <c r="N56" s="437"/>
      <c r="O56" s="383"/>
    </row>
    <row r="57" spans="1:64" ht="12">
      <c r="A57" s="454" t="s">
        <v>786</v>
      </c>
      <c r="B57" s="455"/>
      <c r="C57" s="455" t="s">
        <v>4932</v>
      </c>
      <c r="D57" s="456" t="s">
        <v>4933</v>
      </c>
      <c r="E57" s="457"/>
      <c r="F57" s="455" t="s">
        <v>236</v>
      </c>
      <c r="G57" s="458">
        <v>40</v>
      </c>
      <c r="H57" s="458"/>
      <c r="I57" s="458">
        <f aca="true" t="shared" si="48" ref="I57:I65">G57*AO57</f>
        <v>0</v>
      </c>
      <c r="J57" s="458">
        <f aca="true" t="shared" si="49" ref="J57:J65">G57*AP57</f>
        <v>0</v>
      </c>
      <c r="K57" s="458">
        <f aca="true" t="shared" si="50" ref="K57:K65">G57*H57</f>
        <v>0</v>
      </c>
      <c r="L57" s="458">
        <v>0</v>
      </c>
      <c r="M57" s="458">
        <f aca="true" t="shared" si="51" ref="M57:M65">G57*L57</f>
        <v>0</v>
      </c>
      <c r="N57" s="459" t="s">
        <v>4702</v>
      </c>
      <c r="O57" s="383"/>
      <c r="Z57" s="431">
        <f aca="true" t="shared" si="52" ref="Z57:Z65">IF(AQ57="5",BJ57,0)</f>
        <v>0</v>
      </c>
      <c r="AB57" s="431">
        <f aca="true" t="shared" si="53" ref="AB57:AB65">IF(AQ57="1",BH57,0)</f>
        <v>0</v>
      </c>
      <c r="AC57" s="431">
        <f aca="true" t="shared" si="54" ref="AC57:AC65">IF(AQ57="1",BI57,0)</f>
        <v>0</v>
      </c>
      <c r="AD57" s="431">
        <f aca="true" t="shared" si="55" ref="AD57:AD65">IF(AQ57="7",BH57,0)</f>
        <v>0</v>
      </c>
      <c r="AE57" s="431">
        <f aca="true" t="shared" si="56" ref="AE57:AE65">IF(AQ57="7",BI57,0)</f>
        <v>0</v>
      </c>
      <c r="AF57" s="431">
        <f aca="true" t="shared" si="57" ref="AF57:AF65">IF(AQ57="2",BH57,0)</f>
        <v>0</v>
      </c>
      <c r="AG57" s="431">
        <f aca="true" t="shared" si="58" ref="AG57:AG65">IF(AQ57="2",BI57,0)</f>
        <v>0</v>
      </c>
      <c r="AH57" s="431">
        <f aca="true" t="shared" si="59" ref="AH57:AH65">IF(AQ57="0",BJ57,0)</f>
        <v>0</v>
      </c>
      <c r="AI57" s="405"/>
      <c r="AJ57" s="458">
        <f aca="true" t="shared" si="60" ref="AJ57:AJ65">IF(AN57=0,K57,0)</f>
        <v>0</v>
      </c>
      <c r="AK57" s="458">
        <f aca="true" t="shared" si="61" ref="AK57:AK65">IF(AN57=15,K57,0)</f>
        <v>0</v>
      </c>
      <c r="AL57" s="458">
        <f aca="true" t="shared" si="62" ref="AL57:AL65">IF(AN57=21,K57,0)</f>
        <v>0</v>
      </c>
      <c r="AN57" s="431">
        <v>21</v>
      </c>
      <c r="AO57" s="431">
        <f>H57*1</f>
        <v>0</v>
      </c>
      <c r="AP57" s="431">
        <f>H57*(1-1)</f>
        <v>0</v>
      </c>
      <c r="AQ57" s="460" t="s">
        <v>241</v>
      </c>
      <c r="AV57" s="431">
        <f aca="true" t="shared" si="63" ref="AV57:AV65">AW57+AX57</f>
        <v>0</v>
      </c>
      <c r="AW57" s="431">
        <f aca="true" t="shared" si="64" ref="AW57:AW65">G57*AO57</f>
        <v>0</v>
      </c>
      <c r="AX57" s="431">
        <f aca="true" t="shared" si="65" ref="AX57:AX65">G57*AP57</f>
        <v>0</v>
      </c>
      <c r="AY57" s="433" t="s">
        <v>4867</v>
      </c>
      <c r="AZ57" s="433" t="s">
        <v>4704</v>
      </c>
      <c r="BA57" s="405" t="s">
        <v>4705</v>
      </c>
      <c r="BC57" s="431">
        <f aca="true" t="shared" si="66" ref="BC57:BC65">AW57+AX57</f>
        <v>0</v>
      </c>
      <c r="BD57" s="431">
        <f aca="true" t="shared" si="67" ref="BD57:BD65">H57/(100-BE57)*100</f>
        <v>0</v>
      </c>
      <c r="BE57" s="431">
        <v>0</v>
      </c>
      <c r="BF57" s="431">
        <f aca="true" t="shared" si="68" ref="BF57:BF65">M57</f>
        <v>0</v>
      </c>
      <c r="BH57" s="458">
        <f aca="true" t="shared" si="69" ref="BH57:BH65">G57*AO57</f>
        <v>0</v>
      </c>
      <c r="BI57" s="458">
        <f aca="true" t="shared" si="70" ref="BI57:BI65">G57*AP57</f>
        <v>0</v>
      </c>
      <c r="BJ57" s="458">
        <f aca="true" t="shared" si="71" ref="BJ57:BJ65">G57*H57</f>
        <v>0</v>
      </c>
      <c r="BK57" s="458" t="s">
        <v>484</v>
      </c>
      <c r="BL57" s="431">
        <v>728</v>
      </c>
    </row>
    <row r="58" spans="1:64" ht="12">
      <c r="A58" s="425" t="s">
        <v>793</v>
      </c>
      <c r="B58" s="426"/>
      <c r="C58" s="426" t="s">
        <v>4934</v>
      </c>
      <c r="D58" s="427" t="s">
        <v>4935</v>
      </c>
      <c r="E58" s="428"/>
      <c r="F58" s="426" t="s">
        <v>476</v>
      </c>
      <c r="G58" s="429">
        <v>11</v>
      </c>
      <c r="H58" s="429"/>
      <c r="I58" s="429">
        <f t="shared" si="48"/>
        <v>0</v>
      </c>
      <c r="J58" s="429">
        <f t="shared" si="49"/>
        <v>0</v>
      </c>
      <c r="K58" s="429">
        <f t="shared" si="50"/>
        <v>0</v>
      </c>
      <c r="L58" s="429">
        <v>0</v>
      </c>
      <c r="M58" s="429">
        <f t="shared" si="51"/>
        <v>0</v>
      </c>
      <c r="N58" s="430" t="s">
        <v>4702</v>
      </c>
      <c r="O58" s="383"/>
      <c r="Z58" s="431">
        <f t="shared" si="52"/>
        <v>0</v>
      </c>
      <c r="AB58" s="431">
        <f t="shared" si="53"/>
        <v>0</v>
      </c>
      <c r="AC58" s="431">
        <f t="shared" si="54"/>
        <v>0</v>
      </c>
      <c r="AD58" s="431">
        <f t="shared" si="55"/>
        <v>0</v>
      </c>
      <c r="AE58" s="431">
        <f t="shared" si="56"/>
        <v>0</v>
      </c>
      <c r="AF58" s="431">
        <f t="shared" si="57"/>
        <v>0</v>
      </c>
      <c r="AG58" s="431">
        <f t="shared" si="58"/>
        <v>0</v>
      </c>
      <c r="AH58" s="431">
        <f t="shared" si="59"/>
        <v>0</v>
      </c>
      <c r="AI58" s="405"/>
      <c r="AJ58" s="429">
        <f t="shared" si="60"/>
        <v>0</v>
      </c>
      <c r="AK58" s="429">
        <f t="shared" si="61"/>
        <v>0</v>
      </c>
      <c r="AL58" s="429">
        <f t="shared" si="62"/>
        <v>0</v>
      </c>
      <c r="AN58" s="431">
        <v>21</v>
      </c>
      <c r="AO58" s="431">
        <f>H58*0</f>
        <v>0</v>
      </c>
      <c r="AP58" s="431">
        <f>H58*(1-0)</f>
        <v>0</v>
      </c>
      <c r="AQ58" s="432" t="s">
        <v>241</v>
      </c>
      <c r="AV58" s="431">
        <f t="shared" si="63"/>
        <v>0</v>
      </c>
      <c r="AW58" s="431">
        <f t="shared" si="64"/>
        <v>0</v>
      </c>
      <c r="AX58" s="431">
        <f t="shared" si="65"/>
        <v>0</v>
      </c>
      <c r="AY58" s="433" t="s">
        <v>4867</v>
      </c>
      <c r="AZ58" s="433" t="s">
        <v>4704</v>
      </c>
      <c r="BA58" s="405" t="s">
        <v>4705</v>
      </c>
      <c r="BC58" s="431">
        <f t="shared" si="66"/>
        <v>0</v>
      </c>
      <c r="BD58" s="431">
        <f t="shared" si="67"/>
        <v>0</v>
      </c>
      <c r="BE58" s="431">
        <v>0</v>
      </c>
      <c r="BF58" s="431">
        <f t="shared" si="68"/>
        <v>0</v>
      </c>
      <c r="BH58" s="429">
        <f t="shared" si="69"/>
        <v>0</v>
      </c>
      <c r="BI58" s="429">
        <f t="shared" si="70"/>
        <v>0</v>
      </c>
      <c r="BJ58" s="429">
        <f t="shared" si="71"/>
        <v>0</v>
      </c>
      <c r="BK58" s="429" t="s">
        <v>813</v>
      </c>
      <c r="BL58" s="431">
        <v>728</v>
      </c>
    </row>
    <row r="59" spans="1:64" ht="12">
      <c r="A59" s="454" t="s">
        <v>799</v>
      </c>
      <c r="B59" s="455"/>
      <c r="C59" s="455" t="s">
        <v>4936</v>
      </c>
      <c r="D59" s="456" t="s">
        <v>4937</v>
      </c>
      <c r="E59" s="457"/>
      <c r="F59" s="455" t="s">
        <v>476</v>
      </c>
      <c r="G59" s="458">
        <v>11</v>
      </c>
      <c r="H59" s="458"/>
      <c r="I59" s="458">
        <f t="shared" si="48"/>
        <v>0</v>
      </c>
      <c r="J59" s="458">
        <f t="shared" si="49"/>
        <v>0</v>
      </c>
      <c r="K59" s="458">
        <f t="shared" si="50"/>
        <v>0</v>
      </c>
      <c r="L59" s="458">
        <v>0.00127</v>
      </c>
      <c r="M59" s="458">
        <f t="shared" si="51"/>
        <v>0.013970000000000002</v>
      </c>
      <c r="N59" s="459" t="s">
        <v>4702</v>
      </c>
      <c r="O59" s="383"/>
      <c r="Z59" s="431">
        <f t="shared" si="52"/>
        <v>0</v>
      </c>
      <c r="AB59" s="431">
        <f t="shared" si="53"/>
        <v>0</v>
      </c>
      <c r="AC59" s="431">
        <f t="shared" si="54"/>
        <v>0</v>
      </c>
      <c r="AD59" s="431">
        <f t="shared" si="55"/>
        <v>0</v>
      </c>
      <c r="AE59" s="431">
        <f t="shared" si="56"/>
        <v>0</v>
      </c>
      <c r="AF59" s="431">
        <f t="shared" si="57"/>
        <v>0</v>
      </c>
      <c r="AG59" s="431">
        <f t="shared" si="58"/>
        <v>0</v>
      </c>
      <c r="AH59" s="431">
        <f t="shared" si="59"/>
        <v>0</v>
      </c>
      <c r="AI59" s="405"/>
      <c r="AJ59" s="458">
        <f t="shared" si="60"/>
        <v>0</v>
      </c>
      <c r="AK59" s="458">
        <f t="shared" si="61"/>
        <v>0</v>
      </c>
      <c r="AL59" s="458">
        <f t="shared" si="62"/>
        <v>0</v>
      </c>
      <c r="AN59" s="431">
        <v>21</v>
      </c>
      <c r="AO59" s="431">
        <f>H59*1</f>
        <v>0</v>
      </c>
      <c r="AP59" s="431">
        <f>H59*(1-1)</f>
        <v>0</v>
      </c>
      <c r="AQ59" s="460" t="s">
        <v>241</v>
      </c>
      <c r="AV59" s="431">
        <f t="shared" si="63"/>
        <v>0</v>
      </c>
      <c r="AW59" s="431">
        <f t="shared" si="64"/>
        <v>0</v>
      </c>
      <c r="AX59" s="431">
        <f t="shared" si="65"/>
        <v>0</v>
      </c>
      <c r="AY59" s="433" t="s">
        <v>4867</v>
      </c>
      <c r="AZ59" s="433" t="s">
        <v>4704</v>
      </c>
      <c r="BA59" s="405" t="s">
        <v>4705</v>
      </c>
      <c r="BC59" s="431">
        <f t="shared" si="66"/>
        <v>0</v>
      </c>
      <c r="BD59" s="431">
        <f t="shared" si="67"/>
        <v>0</v>
      </c>
      <c r="BE59" s="431">
        <v>0</v>
      </c>
      <c r="BF59" s="431">
        <f t="shared" si="68"/>
        <v>0.013970000000000002</v>
      </c>
      <c r="BH59" s="458">
        <f t="shared" si="69"/>
        <v>0</v>
      </c>
      <c r="BI59" s="458">
        <f t="shared" si="70"/>
        <v>0</v>
      </c>
      <c r="BJ59" s="458">
        <f t="shared" si="71"/>
        <v>0</v>
      </c>
      <c r="BK59" s="458" t="s">
        <v>484</v>
      </c>
      <c r="BL59" s="431">
        <v>728</v>
      </c>
    </row>
    <row r="60" spans="1:64" ht="12">
      <c r="A60" s="425" t="s">
        <v>1115</v>
      </c>
      <c r="B60" s="426"/>
      <c r="C60" s="426" t="s">
        <v>4938</v>
      </c>
      <c r="D60" s="427" t="s">
        <v>4939</v>
      </c>
      <c r="E60" s="428"/>
      <c r="F60" s="426" t="s">
        <v>476</v>
      </c>
      <c r="G60" s="429">
        <v>70</v>
      </c>
      <c r="H60" s="429"/>
      <c r="I60" s="429">
        <f t="shared" si="48"/>
        <v>0</v>
      </c>
      <c r="J60" s="429">
        <f t="shared" si="49"/>
        <v>0</v>
      </c>
      <c r="K60" s="429">
        <f t="shared" si="50"/>
        <v>0</v>
      </c>
      <c r="L60" s="429">
        <v>0</v>
      </c>
      <c r="M60" s="429">
        <f t="shared" si="51"/>
        <v>0</v>
      </c>
      <c r="N60" s="430" t="s">
        <v>4702</v>
      </c>
      <c r="O60" s="383"/>
      <c r="Z60" s="431">
        <f t="shared" si="52"/>
        <v>0</v>
      </c>
      <c r="AB60" s="431">
        <f t="shared" si="53"/>
        <v>0</v>
      </c>
      <c r="AC60" s="431">
        <f t="shared" si="54"/>
        <v>0</v>
      </c>
      <c r="AD60" s="431">
        <f t="shared" si="55"/>
        <v>0</v>
      </c>
      <c r="AE60" s="431">
        <f t="shared" si="56"/>
        <v>0</v>
      </c>
      <c r="AF60" s="431">
        <f t="shared" si="57"/>
        <v>0</v>
      </c>
      <c r="AG60" s="431">
        <f t="shared" si="58"/>
        <v>0</v>
      </c>
      <c r="AH60" s="431">
        <f t="shared" si="59"/>
        <v>0</v>
      </c>
      <c r="AI60" s="405"/>
      <c r="AJ60" s="429">
        <f t="shared" si="60"/>
        <v>0</v>
      </c>
      <c r="AK60" s="429">
        <f t="shared" si="61"/>
        <v>0</v>
      </c>
      <c r="AL60" s="429">
        <f t="shared" si="62"/>
        <v>0</v>
      </c>
      <c r="AN60" s="431">
        <v>21</v>
      </c>
      <c r="AO60" s="431">
        <f>H60*0</f>
        <v>0</v>
      </c>
      <c r="AP60" s="431">
        <f>H60*(1-0)</f>
        <v>0</v>
      </c>
      <c r="AQ60" s="432" t="s">
        <v>241</v>
      </c>
      <c r="AV60" s="431">
        <f t="shared" si="63"/>
        <v>0</v>
      </c>
      <c r="AW60" s="431">
        <f t="shared" si="64"/>
        <v>0</v>
      </c>
      <c r="AX60" s="431">
        <f t="shared" si="65"/>
        <v>0</v>
      </c>
      <c r="AY60" s="433" t="s">
        <v>4867</v>
      </c>
      <c r="AZ60" s="433" t="s">
        <v>4704</v>
      </c>
      <c r="BA60" s="405" t="s">
        <v>4705</v>
      </c>
      <c r="BC60" s="431">
        <f t="shared" si="66"/>
        <v>0</v>
      </c>
      <c r="BD60" s="431">
        <f t="shared" si="67"/>
        <v>0</v>
      </c>
      <c r="BE60" s="431">
        <v>0</v>
      </c>
      <c r="BF60" s="431">
        <f t="shared" si="68"/>
        <v>0</v>
      </c>
      <c r="BH60" s="429">
        <f t="shared" si="69"/>
        <v>0</v>
      </c>
      <c r="BI60" s="429">
        <f t="shared" si="70"/>
        <v>0</v>
      </c>
      <c r="BJ60" s="429">
        <f t="shared" si="71"/>
        <v>0</v>
      </c>
      <c r="BK60" s="429" t="s">
        <v>813</v>
      </c>
      <c r="BL60" s="431">
        <v>728</v>
      </c>
    </row>
    <row r="61" spans="1:64" ht="12">
      <c r="A61" s="454" t="s">
        <v>1117</v>
      </c>
      <c r="B61" s="455"/>
      <c r="C61" s="455" t="s">
        <v>4940</v>
      </c>
      <c r="D61" s="456" t="s">
        <v>4941</v>
      </c>
      <c r="E61" s="457"/>
      <c r="F61" s="455" t="s">
        <v>476</v>
      </c>
      <c r="G61" s="458">
        <v>50</v>
      </c>
      <c r="H61" s="458"/>
      <c r="I61" s="458">
        <f t="shared" si="48"/>
        <v>0</v>
      </c>
      <c r="J61" s="458">
        <f t="shared" si="49"/>
        <v>0</v>
      </c>
      <c r="K61" s="458">
        <f t="shared" si="50"/>
        <v>0</v>
      </c>
      <c r="L61" s="458">
        <v>0.0018</v>
      </c>
      <c r="M61" s="458">
        <f t="shared" si="51"/>
        <v>0.09</v>
      </c>
      <c r="N61" s="459" t="s">
        <v>4702</v>
      </c>
      <c r="O61" s="383"/>
      <c r="Z61" s="431">
        <f t="shared" si="52"/>
        <v>0</v>
      </c>
      <c r="AB61" s="431">
        <f t="shared" si="53"/>
        <v>0</v>
      </c>
      <c r="AC61" s="431">
        <f t="shared" si="54"/>
        <v>0</v>
      </c>
      <c r="AD61" s="431">
        <f t="shared" si="55"/>
        <v>0</v>
      </c>
      <c r="AE61" s="431">
        <f t="shared" si="56"/>
        <v>0</v>
      </c>
      <c r="AF61" s="431">
        <f t="shared" si="57"/>
        <v>0</v>
      </c>
      <c r="AG61" s="431">
        <f t="shared" si="58"/>
        <v>0</v>
      </c>
      <c r="AH61" s="431">
        <f t="shared" si="59"/>
        <v>0</v>
      </c>
      <c r="AI61" s="405"/>
      <c r="AJ61" s="458">
        <f t="shared" si="60"/>
        <v>0</v>
      </c>
      <c r="AK61" s="458">
        <f t="shared" si="61"/>
        <v>0</v>
      </c>
      <c r="AL61" s="458">
        <f t="shared" si="62"/>
        <v>0</v>
      </c>
      <c r="AN61" s="431">
        <v>21</v>
      </c>
      <c r="AO61" s="431">
        <f>H61*1</f>
        <v>0</v>
      </c>
      <c r="AP61" s="431">
        <f>H61*(1-1)</f>
        <v>0</v>
      </c>
      <c r="AQ61" s="460" t="s">
        <v>241</v>
      </c>
      <c r="AV61" s="431">
        <f t="shared" si="63"/>
        <v>0</v>
      </c>
      <c r="AW61" s="431">
        <f t="shared" si="64"/>
        <v>0</v>
      </c>
      <c r="AX61" s="431">
        <f t="shared" si="65"/>
        <v>0</v>
      </c>
      <c r="AY61" s="433" t="s">
        <v>4867</v>
      </c>
      <c r="AZ61" s="433" t="s">
        <v>4704</v>
      </c>
      <c r="BA61" s="405" t="s">
        <v>4705</v>
      </c>
      <c r="BC61" s="431">
        <f t="shared" si="66"/>
        <v>0</v>
      </c>
      <c r="BD61" s="431">
        <f t="shared" si="67"/>
        <v>0</v>
      </c>
      <c r="BE61" s="431">
        <v>0</v>
      </c>
      <c r="BF61" s="431">
        <f t="shared" si="68"/>
        <v>0.09</v>
      </c>
      <c r="BH61" s="458">
        <f t="shared" si="69"/>
        <v>0</v>
      </c>
      <c r="BI61" s="458">
        <f t="shared" si="70"/>
        <v>0</v>
      </c>
      <c r="BJ61" s="458">
        <f t="shared" si="71"/>
        <v>0</v>
      </c>
      <c r="BK61" s="458" t="s">
        <v>484</v>
      </c>
      <c r="BL61" s="431">
        <v>728</v>
      </c>
    </row>
    <row r="62" spans="1:64" ht="12">
      <c r="A62" s="454" t="s">
        <v>1124</v>
      </c>
      <c r="B62" s="455"/>
      <c r="C62" s="455" t="s">
        <v>4942</v>
      </c>
      <c r="D62" s="456" t="s">
        <v>4943</v>
      </c>
      <c r="E62" s="457"/>
      <c r="F62" s="455" t="s">
        <v>476</v>
      </c>
      <c r="G62" s="458">
        <v>20</v>
      </c>
      <c r="H62" s="458"/>
      <c r="I62" s="458">
        <f t="shared" si="48"/>
        <v>0</v>
      </c>
      <c r="J62" s="458">
        <f t="shared" si="49"/>
        <v>0</v>
      </c>
      <c r="K62" s="458">
        <f t="shared" si="50"/>
        <v>0</v>
      </c>
      <c r="L62" s="458">
        <v>0.00203</v>
      </c>
      <c r="M62" s="458">
        <f t="shared" si="51"/>
        <v>0.040600000000000004</v>
      </c>
      <c r="N62" s="459" t="s">
        <v>4702</v>
      </c>
      <c r="O62" s="383"/>
      <c r="Z62" s="431">
        <f t="shared" si="52"/>
        <v>0</v>
      </c>
      <c r="AB62" s="431">
        <f t="shared" si="53"/>
        <v>0</v>
      </c>
      <c r="AC62" s="431">
        <f t="shared" si="54"/>
        <v>0</v>
      </c>
      <c r="AD62" s="431">
        <f t="shared" si="55"/>
        <v>0</v>
      </c>
      <c r="AE62" s="431">
        <f t="shared" si="56"/>
        <v>0</v>
      </c>
      <c r="AF62" s="431">
        <f t="shared" si="57"/>
        <v>0</v>
      </c>
      <c r="AG62" s="431">
        <f t="shared" si="58"/>
        <v>0</v>
      </c>
      <c r="AH62" s="431">
        <f t="shared" si="59"/>
        <v>0</v>
      </c>
      <c r="AI62" s="405"/>
      <c r="AJ62" s="458">
        <f t="shared" si="60"/>
        <v>0</v>
      </c>
      <c r="AK62" s="458">
        <f t="shared" si="61"/>
        <v>0</v>
      </c>
      <c r="AL62" s="458">
        <f t="shared" si="62"/>
        <v>0</v>
      </c>
      <c r="AN62" s="431">
        <v>21</v>
      </c>
      <c r="AO62" s="431">
        <f>H62*1</f>
        <v>0</v>
      </c>
      <c r="AP62" s="431">
        <f>H62*(1-1)</f>
        <v>0</v>
      </c>
      <c r="AQ62" s="460" t="s">
        <v>241</v>
      </c>
      <c r="AV62" s="431">
        <f t="shared" si="63"/>
        <v>0</v>
      </c>
      <c r="AW62" s="431">
        <f t="shared" si="64"/>
        <v>0</v>
      </c>
      <c r="AX62" s="431">
        <f t="shared" si="65"/>
        <v>0</v>
      </c>
      <c r="AY62" s="433" t="s">
        <v>4867</v>
      </c>
      <c r="AZ62" s="433" t="s">
        <v>4704</v>
      </c>
      <c r="BA62" s="405" t="s">
        <v>4705</v>
      </c>
      <c r="BC62" s="431">
        <f t="shared" si="66"/>
        <v>0</v>
      </c>
      <c r="BD62" s="431">
        <f t="shared" si="67"/>
        <v>0</v>
      </c>
      <c r="BE62" s="431">
        <v>0</v>
      </c>
      <c r="BF62" s="431">
        <f t="shared" si="68"/>
        <v>0.040600000000000004</v>
      </c>
      <c r="BH62" s="458">
        <f t="shared" si="69"/>
        <v>0</v>
      </c>
      <c r="BI62" s="458">
        <f t="shared" si="70"/>
        <v>0</v>
      </c>
      <c r="BJ62" s="458">
        <f t="shared" si="71"/>
        <v>0</v>
      </c>
      <c r="BK62" s="458" t="s">
        <v>484</v>
      </c>
      <c r="BL62" s="431">
        <v>728</v>
      </c>
    </row>
    <row r="63" spans="1:64" ht="12">
      <c r="A63" s="425" t="s">
        <v>1130</v>
      </c>
      <c r="B63" s="426"/>
      <c r="C63" s="426" t="s">
        <v>4929</v>
      </c>
      <c r="D63" s="427" t="s">
        <v>4944</v>
      </c>
      <c r="E63" s="428"/>
      <c r="F63" s="426" t="s">
        <v>236</v>
      </c>
      <c r="G63" s="429">
        <v>13</v>
      </c>
      <c r="H63" s="429"/>
      <c r="I63" s="429">
        <f t="shared" si="48"/>
        <v>0</v>
      </c>
      <c r="J63" s="429">
        <f t="shared" si="49"/>
        <v>0</v>
      </c>
      <c r="K63" s="429">
        <f t="shared" si="50"/>
        <v>0</v>
      </c>
      <c r="L63" s="429">
        <v>0</v>
      </c>
      <c r="M63" s="429">
        <f t="shared" si="51"/>
        <v>0</v>
      </c>
      <c r="N63" s="430" t="s">
        <v>4702</v>
      </c>
      <c r="O63" s="383"/>
      <c r="Z63" s="431">
        <f t="shared" si="52"/>
        <v>0</v>
      </c>
      <c r="AB63" s="431">
        <f t="shared" si="53"/>
        <v>0</v>
      </c>
      <c r="AC63" s="431">
        <f t="shared" si="54"/>
        <v>0</v>
      </c>
      <c r="AD63" s="431">
        <f t="shared" si="55"/>
        <v>0</v>
      </c>
      <c r="AE63" s="431">
        <f t="shared" si="56"/>
        <v>0</v>
      </c>
      <c r="AF63" s="431">
        <f t="shared" si="57"/>
        <v>0</v>
      </c>
      <c r="AG63" s="431">
        <f t="shared" si="58"/>
        <v>0</v>
      </c>
      <c r="AH63" s="431">
        <f t="shared" si="59"/>
        <v>0</v>
      </c>
      <c r="AI63" s="405"/>
      <c r="AJ63" s="429">
        <f t="shared" si="60"/>
        <v>0</v>
      </c>
      <c r="AK63" s="429">
        <f t="shared" si="61"/>
        <v>0</v>
      </c>
      <c r="AL63" s="429">
        <f t="shared" si="62"/>
        <v>0</v>
      </c>
      <c r="AN63" s="431">
        <v>21</v>
      </c>
      <c r="AO63" s="431">
        <f>H63*0</f>
        <v>0</v>
      </c>
      <c r="AP63" s="431">
        <f>H63*(1-0)</f>
        <v>0</v>
      </c>
      <c r="AQ63" s="432" t="s">
        <v>241</v>
      </c>
      <c r="AV63" s="431">
        <f t="shared" si="63"/>
        <v>0</v>
      </c>
      <c r="AW63" s="431">
        <f t="shared" si="64"/>
        <v>0</v>
      </c>
      <c r="AX63" s="431">
        <f t="shared" si="65"/>
        <v>0</v>
      </c>
      <c r="AY63" s="433" t="s">
        <v>4867</v>
      </c>
      <c r="AZ63" s="433" t="s">
        <v>4704</v>
      </c>
      <c r="BA63" s="405" t="s">
        <v>4705</v>
      </c>
      <c r="BC63" s="431">
        <f t="shared" si="66"/>
        <v>0</v>
      </c>
      <c r="BD63" s="431">
        <f t="shared" si="67"/>
        <v>0</v>
      </c>
      <c r="BE63" s="431">
        <v>0</v>
      </c>
      <c r="BF63" s="431">
        <f t="shared" si="68"/>
        <v>0</v>
      </c>
      <c r="BH63" s="429">
        <f t="shared" si="69"/>
        <v>0</v>
      </c>
      <c r="BI63" s="429">
        <f t="shared" si="70"/>
        <v>0</v>
      </c>
      <c r="BJ63" s="429">
        <f t="shared" si="71"/>
        <v>0</v>
      </c>
      <c r="BK63" s="429" t="s">
        <v>813</v>
      </c>
      <c r="BL63" s="431">
        <v>728</v>
      </c>
    </row>
    <row r="64" spans="1:64" ht="12">
      <c r="A64" s="454" t="s">
        <v>1132</v>
      </c>
      <c r="B64" s="455"/>
      <c r="C64" s="455" t="s">
        <v>4945</v>
      </c>
      <c r="D64" s="456" t="s">
        <v>4946</v>
      </c>
      <c r="E64" s="457"/>
      <c r="F64" s="455" t="s">
        <v>236</v>
      </c>
      <c r="G64" s="458">
        <v>13</v>
      </c>
      <c r="H64" s="458"/>
      <c r="I64" s="458">
        <f t="shared" si="48"/>
        <v>0</v>
      </c>
      <c r="J64" s="458">
        <f t="shared" si="49"/>
        <v>0</v>
      </c>
      <c r="K64" s="458">
        <f t="shared" si="50"/>
        <v>0</v>
      </c>
      <c r="L64" s="458">
        <v>0.0005</v>
      </c>
      <c r="M64" s="458">
        <f t="shared" si="51"/>
        <v>0.006500000000000001</v>
      </c>
      <c r="N64" s="459" t="s">
        <v>4702</v>
      </c>
      <c r="O64" s="383"/>
      <c r="Z64" s="431">
        <f t="shared" si="52"/>
        <v>0</v>
      </c>
      <c r="AB64" s="431">
        <f t="shared" si="53"/>
        <v>0</v>
      </c>
      <c r="AC64" s="431">
        <f t="shared" si="54"/>
        <v>0</v>
      </c>
      <c r="AD64" s="431">
        <f t="shared" si="55"/>
        <v>0</v>
      </c>
      <c r="AE64" s="431">
        <f t="shared" si="56"/>
        <v>0</v>
      </c>
      <c r="AF64" s="431">
        <f t="shared" si="57"/>
        <v>0</v>
      </c>
      <c r="AG64" s="431">
        <f t="shared" si="58"/>
        <v>0</v>
      </c>
      <c r="AH64" s="431">
        <f t="shared" si="59"/>
        <v>0</v>
      </c>
      <c r="AI64" s="405"/>
      <c r="AJ64" s="458">
        <f t="shared" si="60"/>
        <v>0</v>
      </c>
      <c r="AK64" s="458">
        <f t="shared" si="61"/>
        <v>0</v>
      </c>
      <c r="AL64" s="458">
        <f t="shared" si="62"/>
        <v>0</v>
      </c>
      <c r="AN64" s="431">
        <v>21</v>
      </c>
      <c r="AO64" s="431">
        <f>H64*1</f>
        <v>0</v>
      </c>
      <c r="AP64" s="431">
        <f>H64*(1-1)</f>
        <v>0</v>
      </c>
      <c r="AQ64" s="460" t="s">
        <v>241</v>
      </c>
      <c r="AV64" s="431">
        <f t="shared" si="63"/>
        <v>0</v>
      </c>
      <c r="AW64" s="431">
        <f t="shared" si="64"/>
        <v>0</v>
      </c>
      <c r="AX64" s="431">
        <f t="shared" si="65"/>
        <v>0</v>
      </c>
      <c r="AY64" s="433" t="s">
        <v>4867</v>
      </c>
      <c r="AZ64" s="433" t="s">
        <v>4704</v>
      </c>
      <c r="BA64" s="405" t="s">
        <v>4705</v>
      </c>
      <c r="BC64" s="431">
        <f t="shared" si="66"/>
        <v>0</v>
      </c>
      <c r="BD64" s="431">
        <f t="shared" si="67"/>
        <v>0</v>
      </c>
      <c r="BE64" s="431">
        <v>0</v>
      </c>
      <c r="BF64" s="431">
        <f t="shared" si="68"/>
        <v>0.006500000000000001</v>
      </c>
      <c r="BH64" s="458">
        <f t="shared" si="69"/>
        <v>0</v>
      </c>
      <c r="BI64" s="458">
        <f t="shared" si="70"/>
        <v>0</v>
      </c>
      <c r="BJ64" s="458">
        <f t="shared" si="71"/>
        <v>0</v>
      </c>
      <c r="BK64" s="458" t="s">
        <v>484</v>
      </c>
      <c r="BL64" s="431">
        <v>728</v>
      </c>
    </row>
    <row r="65" spans="1:64" ht="12">
      <c r="A65" s="425" t="s">
        <v>1134</v>
      </c>
      <c r="B65" s="426"/>
      <c r="C65" s="426" t="s">
        <v>4947</v>
      </c>
      <c r="D65" s="427" t="s">
        <v>4948</v>
      </c>
      <c r="E65" s="428"/>
      <c r="F65" s="426" t="s">
        <v>236</v>
      </c>
      <c r="G65" s="429">
        <v>1</v>
      </c>
      <c r="H65" s="429"/>
      <c r="I65" s="429">
        <f t="shared" si="48"/>
        <v>0</v>
      </c>
      <c r="J65" s="429">
        <f t="shared" si="49"/>
        <v>0</v>
      </c>
      <c r="K65" s="429">
        <f t="shared" si="50"/>
        <v>0</v>
      </c>
      <c r="L65" s="429">
        <v>0</v>
      </c>
      <c r="M65" s="429">
        <f t="shared" si="51"/>
        <v>0</v>
      </c>
      <c r="N65" s="430" t="s">
        <v>4702</v>
      </c>
      <c r="O65" s="383"/>
      <c r="Z65" s="431">
        <f t="shared" si="52"/>
        <v>0</v>
      </c>
      <c r="AB65" s="431">
        <f t="shared" si="53"/>
        <v>0</v>
      </c>
      <c r="AC65" s="431">
        <f t="shared" si="54"/>
        <v>0</v>
      </c>
      <c r="AD65" s="431">
        <f t="shared" si="55"/>
        <v>0</v>
      </c>
      <c r="AE65" s="431">
        <f t="shared" si="56"/>
        <v>0</v>
      </c>
      <c r="AF65" s="431">
        <f t="shared" si="57"/>
        <v>0</v>
      </c>
      <c r="AG65" s="431">
        <f t="shared" si="58"/>
        <v>0</v>
      </c>
      <c r="AH65" s="431">
        <f t="shared" si="59"/>
        <v>0</v>
      </c>
      <c r="AI65" s="405"/>
      <c r="AJ65" s="429">
        <f t="shared" si="60"/>
        <v>0</v>
      </c>
      <c r="AK65" s="429">
        <f t="shared" si="61"/>
        <v>0</v>
      </c>
      <c r="AL65" s="429">
        <f t="shared" si="62"/>
        <v>0</v>
      </c>
      <c r="AN65" s="431">
        <v>21</v>
      </c>
      <c r="AO65" s="431">
        <f>H65*0</f>
        <v>0</v>
      </c>
      <c r="AP65" s="431">
        <f>H65*(1-0)</f>
        <v>0</v>
      </c>
      <c r="AQ65" s="432" t="s">
        <v>241</v>
      </c>
      <c r="AV65" s="431">
        <f t="shared" si="63"/>
        <v>0</v>
      </c>
      <c r="AW65" s="431">
        <f t="shared" si="64"/>
        <v>0</v>
      </c>
      <c r="AX65" s="431">
        <f t="shared" si="65"/>
        <v>0</v>
      </c>
      <c r="AY65" s="433" t="s">
        <v>4867</v>
      </c>
      <c r="AZ65" s="433" t="s">
        <v>4704</v>
      </c>
      <c r="BA65" s="405" t="s">
        <v>4705</v>
      </c>
      <c r="BC65" s="431">
        <f t="shared" si="66"/>
        <v>0</v>
      </c>
      <c r="BD65" s="431">
        <f t="shared" si="67"/>
        <v>0</v>
      </c>
      <c r="BE65" s="431">
        <v>0</v>
      </c>
      <c r="BF65" s="431">
        <f t="shared" si="68"/>
        <v>0</v>
      </c>
      <c r="BH65" s="429">
        <f t="shared" si="69"/>
        <v>0</v>
      </c>
      <c r="BI65" s="429">
        <f t="shared" si="70"/>
        <v>0</v>
      </c>
      <c r="BJ65" s="429">
        <f t="shared" si="71"/>
        <v>0</v>
      </c>
      <c r="BK65" s="429" t="s">
        <v>813</v>
      </c>
      <c r="BL65" s="431">
        <v>728</v>
      </c>
    </row>
    <row r="66" spans="1:15" ht="12">
      <c r="A66" s="383"/>
      <c r="C66" s="434" t="s">
        <v>4706</v>
      </c>
      <c r="D66" s="435" t="s">
        <v>4949</v>
      </c>
      <c r="E66" s="436"/>
      <c r="F66" s="436"/>
      <c r="G66" s="436"/>
      <c r="H66" s="436"/>
      <c r="I66" s="436"/>
      <c r="J66" s="436"/>
      <c r="K66" s="436"/>
      <c r="L66" s="436"/>
      <c r="M66" s="436"/>
      <c r="N66" s="437"/>
      <c r="O66" s="383"/>
    </row>
    <row r="67" spans="1:64" ht="12">
      <c r="A67" s="454" t="s">
        <v>1140</v>
      </c>
      <c r="B67" s="455"/>
      <c r="C67" s="455" t="s">
        <v>4950</v>
      </c>
      <c r="D67" s="456" t="s">
        <v>4951</v>
      </c>
      <c r="E67" s="457"/>
      <c r="F67" s="455" t="s">
        <v>236</v>
      </c>
      <c r="G67" s="458">
        <v>1</v>
      </c>
      <c r="H67" s="458"/>
      <c r="I67" s="458">
        <f>G67*AO67</f>
        <v>0</v>
      </c>
      <c r="J67" s="458">
        <f>G67*AP67</f>
        <v>0</v>
      </c>
      <c r="K67" s="458">
        <f>G67*H67</f>
        <v>0</v>
      </c>
      <c r="L67" s="458">
        <v>0.063</v>
      </c>
      <c r="M67" s="458">
        <f>G67*L67</f>
        <v>0.063</v>
      </c>
      <c r="N67" s="459" t="s">
        <v>4702</v>
      </c>
      <c r="O67" s="383"/>
      <c r="Z67" s="431">
        <f>IF(AQ67="5",BJ67,0)</f>
        <v>0</v>
      </c>
      <c r="AB67" s="431">
        <f>IF(AQ67="1",BH67,0)</f>
        <v>0</v>
      </c>
      <c r="AC67" s="431">
        <f>IF(AQ67="1",BI67,0)</f>
        <v>0</v>
      </c>
      <c r="AD67" s="431">
        <f>IF(AQ67="7",BH67,0)</f>
        <v>0</v>
      </c>
      <c r="AE67" s="431">
        <f>IF(AQ67="7",BI67,0)</f>
        <v>0</v>
      </c>
      <c r="AF67" s="431">
        <f>IF(AQ67="2",BH67,0)</f>
        <v>0</v>
      </c>
      <c r="AG67" s="431">
        <f>IF(AQ67="2",BI67,0)</f>
        <v>0</v>
      </c>
      <c r="AH67" s="431">
        <f>IF(AQ67="0",BJ67,0)</f>
        <v>0</v>
      </c>
      <c r="AI67" s="405"/>
      <c r="AJ67" s="458">
        <f>IF(AN67=0,K67,0)</f>
        <v>0</v>
      </c>
      <c r="AK67" s="458">
        <f>IF(AN67=15,K67,0)</f>
        <v>0</v>
      </c>
      <c r="AL67" s="458">
        <f>IF(AN67=21,K67,0)</f>
        <v>0</v>
      </c>
      <c r="AN67" s="431">
        <v>21</v>
      </c>
      <c r="AO67" s="431">
        <f>H67*1</f>
        <v>0</v>
      </c>
      <c r="AP67" s="431">
        <f>H67*(1-1)</f>
        <v>0</v>
      </c>
      <c r="AQ67" s="460" t="s">
        <v>241</v>
      </c>
      <c r="AV67" s="431">
        <f>AW67+AX67</f>
        <v>0</v>
      </c>
      <c r="AW67" s="431">
        <f>G67*AO67</f>
        <v>0</v>
      </c>
      <c r="AX67" s="431">
        <f>G67*AP67</f>
        <v>0</v>
      </c>
      <c r="AY67" s="433" t="s">
        <v>4867</v>
      </c>
      <c r="AZ67" s="433" t="s">
        <v>4704</v>
      </c>
      <c r="BA67" s="405" t="s">
        <v>4705</v>
      </c>
      <c r="BC67" s="431">
        <f>AW67+AX67</f>
        <v>0</v>
      </c>
      <c r="BD67" s="431">
        <f>H67/(100-BE67)*100</f>
        <v>0</v>
      </c>
      <c r="BE67" s="431">
        <v>0</v>
      </c>
      <c r="BF67" s="431">
        <f>M67</f>
        <v>0.063</v>
      </c>
      <c r="BH67" s="458">
        <f>G67*AO67</f>
        <v>0</v>
      </c>
      <c r="BI67" s="458">
        <f>G67*AP67</f>
        <v>0</v>
      </c>
      <c r="BJ67" s="458">
        <f>G67*H67</f>
        <v>0</v>
      </c>
      <c r="BK67" s="458" t="s">
        <v>484</v>
      </c>
      <c r="BL67" s="431">
        <v>728</v>
      </c>
    </row>
    <row r="68" spans="1:64" ht="12">
      <c r="A68" s="425" t="s">
        <v>1144</v>
      </c>
      <c r="B68" s="426"/>
      <c r="C68" s="426" t="s">
        <v>4952</v>
      </c>
      <c r="D68" s="427" t="s">
        <v>4953</v>
      </c>
      <c r="E68" s="428"/>
      <c r="F68" s="426" t="s">
        <v>236</v>
      </c>
      <c r="G68" s="429">
        <v>4</v>
      </c>
      <c r="H68" s="429"/>
      <c r="I68" s="429">
        <f>G68*AO68</f>
        <v>0</v>
      </c>
      <c r="J68" s="429">
        <f>G68*AP68</f>
        <v>0</v>
      </c>
      <c r="K68" s="429">
        <f>G68*H68</f>
        <v>0</v>
      </c>
      <c r="L68" s="429">
        <v>0</v>
      </c>
      <c r="M68" s="429">
        <f>G68*L68</f>
        <v>0</v>
      </c>
      <c r="N68" s="430" t="s">
        <v>4702</v>
      </c>
      <c r="O68" s="383"/>
      <c r="Z68" s="431">
        <f>IF(AQ68="5",BJ68,0)</f>
        <v>0</v>
      </c>
      <c r="AB68" s="431">
        <f>IF(AQ68="1",BH68,0)</f>
        <v>0</v>
      </c>
      <c r="AC68" s="431">
        <f>IF(AQ68="1",BI68,0)</f>
        <v>0</v>
      </c>
      <c r="AD68" s="431">
        <f>IF(AQ68="7",BH68,0)</f>
        <v>0</v>
      </c>
      <c r="AE68" s="431">
        <f>IF(AQ68="7",BI68,0)</f>
        <v>0</v>
      </c>
      <c r="AF68" s="431">
        <f>IF(AQ68="2",BH68,0)</f>
        <v>0</v>
      </c>
      <c r="AG68" s="431">
        <f>IF(AQ68="2",BI68,0)</f>
        <v>0</v>
      </c>
      <c r="AH68" s="431">
        <f>IF(AQ68="0",BJ68,0)</f>
        <v>0</v>
      </c>
      <c r="AI68" s="405"/>
      <c r="AJ68" s="429">
        <f>IF(AN68=0,K68,0)</f>
        <v>0</v>
      </c>
      <c r="AK68" s="429">
        <f>IF(AN68=15,K68,0)</f>
        <v>0</v>
      </c>
      <c r="AL68" s="429">
        <f>IF(AN68=21,K68,0)</f>
        <v>0</v>
      </c>
      <c r="AN68" s="431">
        <v>21</v>
      </c>
      <c r="AO68" s="431">
        <f>H68*0</f>
        <v>0</v>
      </c>
      <c r="AP68" s="431">
        <f>H68*(1-0)</f>
        <v>0</v>
      </c>
      <c r="AQ68" s="432" t="s">
        <v>241</v>
      </c>
      <c r="AV68" s="431">
        <f>AW68+AX68</f>
        <v>0</v>
      </c>
      <c r="AW68" s="431">
        <f>G68*AO68</f>
        <v>0</v>
      </c>
      <c r="AX68" s="431">
        <f>G68*AP68</f>
        <v>0</v>
      </c>
      <c r="AY68" s="433" t="s">
        <v>4867</v>
      </c>
      <c r="AZ68" s="433" t="s">
        <v>4704</v>
      </c>
      <c r="BA68" s="405" t="s">
        <v>4705</v>
      </c>
      <c r="BC68" s="431">
        <f>AW68+AX68</f>
        <v>0</v>
      </c>
      <c r="BD68" s="431">
        <f>H68/(100-BE68)*100</f>
        <v>0</v>
      </c>
      <c r="BE68" s="431">
        <v>0</v>
      </c>
      <c r="BF68" s="431">
        <f>M68</f>
        <v>0</v>
      </c>
      <c r="BH68" s="429">
        <f>G68*AO68</f>
        <v>0</v>
      </c>
      <c r="BI68" s="429">
        <f>G68*AP68</f>
        <v>0</v>
      </c>
      <c r="BJ68" s="429">
        <f>G68*H68</f>
        <v>0</v>
      </c>
      <c r="BK68" s="429" t="s">
        <v>813</v>
      </c>
      <c r="BL68" s="431">
        <v>728</v>
      </c>
    </row>
    <row r="69" spans="1:15" ht="12">
      <c r="A69" s="383"/>
      <c r="C69" s="434" t="s">
        <v>4706</v>
      </c>
      <c r="D69" s="435" t="s">
        <v>4954</v>
      </c>
      <c r="E69" s="436"/>
      <c r="F69" s="436"/>
      <c r="G69" s="436"/>
      <c r="H69" s="436"/>
      <c r="I69" s="436"/>
      <c r="J69" s="436"/>
      <c r="K69" s="436"/>
      <c r="L69" s="436"/>
      <c r="M69" s="436"/>
      <c r="N69" s="437"/>
      <c r="O69" s="383"/>
    </row>
    <row r="70" spans="1:64" ht="12">
      <c r="A70" s="454" t="s">
        <v>1148</v>
      </c>
      <c r="B70" s="455"/>
      <c r="C70" s="455" t="s">
        <v>4955</v>
      </c>
      <c r="D70" s="456" t="s">
        <v>4956</v>
      </c>
      <c r="E70" s="457"/>
      <c r="F70" s="455" t="s">
        <v>236</v>
      </c>
      <c r="G70" s="458">
        <v>4</v>
      </c>
      <c r="H70" s="458"/>
      <c r="I70" s="458">
        <f>G70*AO70</f>
        <v>0</v>
      </c>
      <c r="J70" s="458">
        <f>G70*AP70</f>
        <v>0</v>
      </c>
      <c r="K70" s="458">
        <f>G70*H70</f>
        <v>0</v>
      </c>
      <c r="L70" s="458">
        <v>0.006</v>
      </c>
      <c r="M70" s="458">
        <f>G70*L70</f>
        <v>0.024</v>
      </c>
      <c r="N70" s="459" t="s">
        <v>4702</v>
      </c>
      <c r="O70" s="383"/>
      <c r="Z70" s="431">
        <f>IF(AQ70="5",BJ70,0)</f>
        <v>0</v>
      </c>
      <c r="AB70" s="431">
        <f>IF(AQ70="1",BH70,0)</f>
        <v>0</v>
      </c>
      <c r="AC70" s="431">
        <f>IF(AQ70="1",BI70,0)</f>
        <v>0</v>
      </c>
      <c r="AD70" s="431">
        <f>IF(AQ70="7",BH70,0)</f>
        <v>0</v>
      </c>
      <c r="AE70" s="431">
        <f>IF(AQ70="7",BI70,0)</f>
        <v>0</v>
      </c>
      <c r="AF70" s="431">
        <f>IF(AQ70="2",BH70,0)</f>
        <v>0</v>
      </c>
      <c r="AG70" s="431">
        <f>IF(AQ70="2",BI70,0)</f>
        <v>0</v>
      </c>
      <c r="AH70" s="431">
        <f>IF(AQ70="0",BJ70,0)</f>
        <v>0</v>
      </c>
      <c r="AI70" s="405"/>
      <c r="AJ70" s="458">
        <f>IF(AN70=0,K70,0)</f>
        <v>0</v>
      </c>
      <c r="AK70" s="458">
        <f>IF(AN70=15,K70,0)</f>
        <v>0</v>
      </c>
      <c r="AL70" s="458">
        <f>IF(AN70=21,K70,0)</f>
        <v>0</v>
      </c>
      <c r="AN70" s="431">
        <v>21</v>
      </c>
      <c r="AO70" s="431">
        <f>H70*1</f>
        <v>0</v>
      </c>
      <c r="AP70" s="431">
        <f>H70*(1-1)</f>
        <v>0</v>
      </c>
      <c r="AQ70" s="460" t="s">
        <v>241</v>
      </c>
      <c r="AV70" s="431">
        <f>AW70+AX70</f>
        <v>0</v>
      </c>
      <c r="AW70" s="431">
        <f>G70*AO70</f>
        <v>0</v>
      </c>
      <c r="AX70" s="431">
        <f>G70*AP70</f>
        <v>0</v>
      </c>
      <c r="AY70" s="433" t="s">
        <v>4867</v>
      </c>
      <c r="AZ70" s="433" t="s">
        <v>4704</v>
      </c>
      <c r="BA70" s="405" t="s">
        <v>4705</v>
      </c>
      <c r="BC70" s="431">
        <f>AW70+AX70</f>
        <v>0</v>
      </c>
      <c r="BD70" s="431">
        <f>H70/(100-BE70)*100</f>
        <v>0</v>
      </c>
      <c r="BE70" s="431">
        <v>0</v>
      </c>
      <c r="BF70" s="431">
        <f>M70</f>
        <v>0.024</v>
      </c>
      <c r="BH70" s="458">
        <f>G70*AO70</f>
        <v>0</v>
      </c>
      <c r="BI70" s="458">
        <f>G70*AP70</f>
        <v>0</v>
      </c>
      <c r="BJ70" s="458">
        <f>G70*H70</f>
        <v>0</v>
      </c>
      <c r="BK70" s="458" t="s">
        <v>484</v>
      </c>
      <c r="BL70" s="431">
        <v>728</v>
      </c>
    </row>
    <row r="71" spans="1:64" ht="12">
      <c r="A71" s="425" t="s">
        <v>1156</v>
      </c>
      <c r="B71" s="426"/>
      <c r="C71" s="426" t="s">
        <v>4924</v>
      </c>
      <c r="D71" s="427" t="s">
        <v>4925</v>
      </c>
      <c r="E71" s="428"/>
      <c r="F71" s="426" t="s">
        <v>236</v>
      </c>
      <c r="G71" s="429">
        <v>4</v>
      </c>
      <c r="H71" s="429"/>
      <c r="I71" s="429">
        <f>G71*AO71</f>
        <v>0</v>
      </c>
      <c r="J71" s="429">
        <f>G71*AP71</f>
        <v>0</v>
      </c>
      <c r="K71" s="429">
        <f>G71*H71</f>
        <v>0</v>
      </c>
      <c r="L71" s="429">
        <v>0</v>
      </c>
      <c r="M71" s="429">
        <f>G71*L71</f>
        <v>0</v>
      </c>
      <c r="N71" s="430" t="s">
        <v>4702</v>
      </c>
      <c r="O71" s="383"/>
      <c r="Z71" s="431">
        <f>IF(AQ71="5",BJ71,0)</f>
        <v>0</v>
      </c>
      <c r="AB71" s="431">
        <f>IF(AQ71="1",BH71,0)</f>
        <v>0</v>
      </c>
      <c r="AC71" s="431">
        <f>IF(AQ71="1",BI71,0)</f>
        <v>0</v>
      </c>
      <c r="AD71" s="431">
        <f>IF(AQ71="7",BH71,0)</f>
        <v>0</v>
      </c>
      <c r="AE71" s="431">
        <f>IF(AQ71="7",BI71,0)</f>
        <v>0</v>
      </c>
      <c r="AF71" s="431">
        <f>IF(AQ71="2",BH71,0)</f>
        <v>0</v>
      </c>
      <c r="AG71" s="431">
        <f>IF(AQ71="2",BI71,0)</f>
        <v>0</v>
      </c>
      <c r="AH71" s="431">
        <f>IF(AQ71="0",BJ71,0)</f>
        <v>0</v>
      </c>
      <c r="AI71" s="405"/>
      <c r="AJ71" s="429">
        <f>IF(AN71=0,K71,0)</f>
        <v>0</v>
      </c>
      <c r="AK71" s="429">
        <f>IF(AN71=15,K71,0)</f>
        <v>0</v>
      </c>
      <c r="AL71" s="429">
        <f>IF(AN71=21,K71,0)</f>
        <v>0</v>
      </c>
      <c r="AN71" s="431">
        <v>21</v>
      </c>
      <c r="AO71" s="431">
        <f>H71*0</f>
        <v>0</v>
      </c>
      <c r="AP71" s="431">
        <f>H71*(1-0)</f>
        <v>0</v>
      </c>
      <c r="AQ71" s="432" t="s">
        <v>241</v>
      </c>
      <c r="AV71" s="431">
        <f>AW71+AX71</f>
        <v>0</v>
      </c>
      <c r="AW71" s="431">
        <f>G71*AO71</f>
        <v>0</v>
      </c>
      <c r="AX71" s="431">
        <f>G71*AP71</f>
        <v>0</v>
      </c>
      <c r="AY71" s="433" t="s">
        <v>4867</v>
      </c>
      <c r="AZ71" s="433" t="s">
        <v>4704</v>
      </c>
      <c r="BA71" s="405" t="s">
        <v>4705</v>
      </c>
      <c r="BC71" s="431">
        <f>AW71+AX71</f>
        <v>0</v>
      </c>
      <c r="BD71" s="431">
        <f>H71/(100-BE71)*100</f>
        <v>0</v>
      </c>
      <c r="BE71" s="431">
        <v>0</v>
      </c>
      <c r="BF71" s="431">
        <f>M71</f>
        <v>0</v>
      </c>
      <c r="BH71" s="429">
        <f>G71*AO71</f>
        <v>0</v>
      </c>
      <c r="BI71" s="429">
        <f>G71*AP71</f>
        <v>0</v>
      </c>
      <c r="BJ71" s="429">
        <f>G71*H71</f>
        <v>0</v>
      </c>
      <c r="BK71" s="429" t="s">
        <v>813</v>
      </c>
      <c r="BL71" s="431">
        <v>728</v>
      </c>
    </row>
    <row r="72" spans="1:15" ht="12">
      <c r="A72" s="383"/>
      <c r="C72" s="434" t="s">
        <v>4706</v>
      </c>
      <c r="D72" s="435" t="s">
        <v>4957</v>
      </c>
      <c r="E72" s="436"/>
      <c r="F72" s="436"/>
      <c r="G72" s="436"/>
      <c r="H72" s="436"/>
      <c r="I72" s="436"/>
      <c r="J72" s="436"/>
      <c r="K72" s="436"/>
      <c r="L72" s="436"/>
      <c r="M72" s="436"/>
      <c r="N72" s="437"/>
      <c r="O72" s="383"/>
    </row>
    <row r="73" spans="1:64" ht="12">
      <c r="A73" s="454" t="s">
        <v>1164</v>
      </c>
      <c r="B73" s="455"/>
      <c r="C73" s="455" t="s">
        <v>4958</v>
      </c>
      <c r="D73" s="456" t="s">
        <v>4959</v>
      </c>
      <c r="E73" s="457"/>
      <c r="F73" s="455" t="s">
        <v>236</v>
      </c>
      <c r="G73" s="458">
        <v>2</v>
      </c>
      <c r="H73" s="458"/>
      <c r="I73" s="458">
        <f>G73*AO73</f>
        <v>0</v>
      </c>
      <c r="J73" s="458">
        <f>G73*AP73</f>
        <v>0</v>
      </c>
      <c r="K73" s="458">
        <f>G73*H73</f>
        <v>0</v>
      </c>
      <c r="L73" s="458">
        <v>0.0002</v>
      </c>
      <c r="M73" s="458">
        <f>G73*L73</f>
        <v>0.0004</v>
      </c>
      <c r="N73" s="459" t="s">
        <v>4702</v>
      </c>
      <c r="O73" s="383"/>
      <c r="Z73" s="431">
        <f>IF(AQ73="5",BJ73,0)</f>
        <v>0</v>
      </c>
      <c r="AB73" s="431">
        <f>IF(AQ73="1",BH73,0)</f>
        <v>0</v>
      </c>
      <c r="AC73" s="431">
        <f>IF(AQ73="1",BI73,0)</f>
        <v>0</v>
      </c>
      <c r="AD73" s="431">
        <f>IF(AQ73="7",BH73,0)</f>
        <v>0</v>
      </c>
      <c r="AE73" s="431">
        <f>IF(AQ73="7",BI73,0)</f>
        <v>0</v>
      </c>
      <c r="AF73" s="431">
        <f>IF(AQ73="2",BH73,0)</f>
        <v>0</v>
      </c>
      <c r="AG73" s="431">
        <f>IF(AQ73="2",BI73,0)</f>
        <v>0</v>
      </c>
      <c r="AH73" s="431">
        <f>IF(AQ73="0",BJ73,0)</f>
        <v>0</v>
      </c>
      <c r="AI73" s="405"/>
      <c r="AJ73" s="458">
        <f>IF(AN73=0,K73,0)</f>
        <v>0</v>
      </c>
      <c r="AK73" s="458">
        <f>IF(AN73=15,K73,0)</f>
        <v>0</v>
      </c>
      <c r="AL73" s="458">
        <f>IF(AN73=21,K73,0)</f>
        <v>0</v>
      </c>
      <c r="AN73" s="431">
        <v>21</v>
      </c>
      <c r="AO73" s="431">
        <f>H73*1</f>
        <v>0</v>
      </c>
      <c r="AP73" s="431">
        <f>H73*(1-1)</f>
        <v>0</v>
      </c>
      <c r="AQ73" s="460" t="s">
        <v>241</v>
      </c>
      <c r="AV73" s="431">
        <f>AW73+AX73</f>
        <v>0</v>
      </c>
      <c r="AW73" s="431">
        <f>G73*AO73</f>
        <v>0</v>
      </c>
      <c r="AX73" s="431">
        <f>G73*AP73</f>
        <v>0</v>
      </c>
      <c r="AY73" s="433" t="s">
        <v>4867</v>
      </c>
      <c r="AZ73" s="433" t="s">
        <v>4704</v>
      </c>
      <c r="BA73" s="405" t="s">
        <v>4705</v>
      </c>
      <c r="BC73" s="431">
        <f>AW73+AX73</f>
        <v>0</v>
      </c>
      <c r="BD73" s="431">
        <f>H73/(100-BE73)*100</f>
        <v>0</v>
      </c>
      <c r="BE73" s="431">
        <v>0</v>
      </c>
      <c r="BF73" s="431">
        <f>M73</f>
        <v>0.0004</v>
      </c>
      <c r="BH73" s="458">
        <f>G73*AO73</f>
        <v>0</v>
      </c>
      <c r="BI73" s="458">
        <f>G73*AP73</f>
        <v>0</v>
      </c>
      <c r="BJ73" s="458">
        <f>G73*H73</f>
        <v>0</v>
      </c>
      <c r="BK73" s="458" t="s">
        <v>484</v>
      </c>
      <c r="BL73" s="431">
        <v>728</v>
      </c>
    </row>
    <row r="74" spans="1:64" ht="12">
      <c r="A74" s="454" t="s">
        <v>1167</v>
      </c>
      <c r="B74" s="455"/>
      <c r="C74" s="455" t="s">
        <v>4960</v>
      </c>
      <c r="D74" s="456" t="s">
        <v>4961</v>
      </c>
      <c r="E74" s="457"/>
      <c r="F74" s="455" t="s">
        <v>236</v>
      </c>
      <c r="G74" s="458">
        <v>2</v>
      </c>
      <c r="H74" s="458"/>
      <c r="I74" s="458">
        <f>G74*AO74</f>
        <v>0</v>
      </c>
      <c r="J74" s="458">
        <f>G74*AP74</f>
        <v>0</v>
      </c>
      <c r="K74" s="458">
        <f>G74*H74</f>
        <v>0</v>
      </c>
      <c r="L74" s="458">
        <v>0.0002</v>
      </c>
      <c r="M74" s="458">
        <f>G74*L74</f>
        <v>0.0004</v>
      </c>
      <c r="N74" s="459" t="s">
        <v>4702</v>
      </c>
      <c r="O74" s="383"/>
      <c r="Z74" s="431">
        <f>IF(AQ74="5",BJ74,0)</f>
        <v>0</v>
      </c>
      <c r="AB74" s="431">
        <f>IF(AQ74="1",BH74,0)</f>
        <v>0</v>
      </c>
      <c r="AC74" s="431">
        <f>IF(AQ74="1",BI74,0)</f>
        <v>0</v>
      </c>
      <c r="AD74" s="431">
        <f>IF(AQ74="7",BH74,0)</f>
        <v>0</v>
      </c>
      <c r="AE74" s="431">
        <f>IF(AQ74="7",BI74,0)</f>
        <v>0</v>
      </c>
      <c r="AF74" s="431">
        <f>IF(AQ74="2",BH74,0)</f>
        <v>0</v>
      </c>
      <c r="AG74" s="431">
        <f>IF(AQ74="2",BI74,0)</f>
        <v>0</v>
      </c>
      <c r="AH74" s="431">
        <f>IF(AQ74="0",BJ74,0)</f>
        <v>0</v>
      </c>
      <c r="AI74" s="405"/>
      <c r="AJ74" s="458">
        <f>IF(AN74=0,K74,0)</f>
        <v>0</v>
      </c>
      <c r="AK74" s="458">
        <f>IF(AN74=15,K74,0)</f>
        <v>0</v>
      </c>
      <c r="AL74" s="458">
        <f>IF(AN74=21,K74,0)</f>
        <v>0</v>
      </c>
      <c r="AN74" s="431">
        <v>21</v>
      </c>
      <c r="AO74" s="431">
        <f>H74*1</f>
        <v>0</v>
      </c>
      <c r="AP74" s="431">
        <f>H74*(1-1)</f>
        <v>0</v>
      </c>
      <c r="AQ74" s="460" t="s">
        <v>241</v>
      </c>
      <c r="AV74" s="431">
        <f>AW74+AX74</f>
        <v>0</v>
      </c>
      <c r="AW74" s="431">
        <f>G74*AO74</f>
        <v>0</v>
      </c>
      <c r="AX74" s="431">
        <f>G74*AP74</f>
        <v>0</v>
      </c>
      <c r="AY74" s="433" t="s">
        <v>4867</v>
      </c>
      <c r="AZ74" s="433" t="s">
        <v>4704</v>
      </c>
      <c r="BA74" s="405" t="s">
        <v>4705</v>
      </c>
      <c r="BC74" s="431">
        <f>AW74+AX74</f>
        <v>0</v>
      </c>
      <c r="BD74" s="431">
        <f>H74/(100-BE74)*100</f>
        <v>0</v>
      </c>
      <c r="BE74" s="431">
        <v>0</v>
      </c>
      <c r="BF74" s="431">
        <f>M74</f>
        <v>0.0004</v>
      </c>
      <c r="BH74" s="458">
        <f>G74*AO74</f>
        <v>0</v>
      </c>
      <c r="BI74" s="458">
        <f>G74*AP74</f>
        <v>0</v>
      </c>
      <c r="BJ74" s="458">
        <f>G74*H74</f>
        <v>0</v>
      </c>
      <c r="BK74" s="458" t="s">
        <v>484</v>
      </c>
      <c r="BL74" s="431">
        <v>728</v>
      </c>
    </row>
    <row r="75" spans="1:64" ht="12">
      <c r="A75" s="425" t="s">
        <v>1173</v>
      </c>
      <c r="B75" s="426"/>
      <c r="C75" s="426" t="s">
        <v>4899</v>
      </c>
      <c r="D75" s="427" t="s">
        <v>4962</v>
      </c>
      <c r="E75" s="428"/>
      <c r="F75" s="426" t="s">
        <v>236</v>
      </c>
      <c r="G75" s="429">
        <v>1</v>
      </c>
      <c r="H75" s="429"/>
      <c r="I75" s="429">
        <f>G75*AO75</f>
        <v>0</v>
      </c>
      <c r="J75" s="429">
        <f>G75*AP75</f>
        <v>0</v>
      </c>
      <c r="K75" s="429">
        <f>G75*H75</f>
        <v>0</v>
      </c>
      <c r="L75" s="429">
        <v>0</v>
      </c>
      <c r="M75" s="429">
        <f>G75*L75</f>
        <v>0</v>
      </c>
      <c r="N75" s="430" t="s">
        <v>4702</v>
      </c>
      <c r="O75" s="383"/>
      <c r="Z75" s="431">
        <f>IF(AQ75="5",BJ75,0)</f>
        <v>0</v>
      </c>
      <c r="AB75" s="431">
        <f>IF(AQ75="1",BH75,0)</f>
        <v>0</v>
      </c>
      <c r="AC75" s="431">
        <f>IF(AQ75="1",BI75,0)</f>
        <v>0</v>
      </c>
      <c r="AD75" s="431">
        <f>IF(AQ75="7",BH75,0)</f>
        <v>0</v>
      </c>
      <c r="AE75" s="431">
        <f>IF(AQ75="7",BI75,0)</f>
        <v>0</v>
      </c>
      <c r="AF75" s="431">
        <f>IF(AQ75="2",BH75,0)</f>
        <v>0</v>
      </c>
      <c r="AG75" s="431">
        <f>IF(AQ75="2",BI75,0)</f>
        <v>0</v>
      </c>
      <c r="AH75" s="431">
        <f>IF(AQ75="0",BJ75,0)</f>
        <v>0</v>
      </c>
      <c r="AI75" s="405"/>
      <c r="AJ75" s="429">
        <f>IF(AN75=0,K75,0)</f>
        <v>0</v>
      </c>
      <c r="AK75" s="429">
        <f>IF(AN75=15,K75,0)</f>
        <v>0</v>
      </c>
      <c r="AL75" s="429">
        <f>IF(AN75=21,K75,0)</f>
        <v>0</v>
      </c>
      <c r="AN75" s="431">
        <v>21</v>
      </c>
      <c r="AO75" s="431">
        <f>H75*0</f>
        <v>0</v>
      </c>
      <c r="AP75" s="431">
        <f>H75*(1-0)</f>
        <v>0</v>
      </c>
      <c r="AQ75" s="432" t="s">
        <v>241</v>
      </c>
      <c r="AV75" s="431">
        <f>AW75+AX75</f>
        <v>0</v>
      </c>
      <c r="AW75" s="431">
        <f>G75*AO75</f>
        <v>0</v>
      </c>
      <c r="AX75" s="431">
        <f>G75*AP75</f>
        <v>0</v>
      </c>
      <c r="AY75" s="433" t="s">
        <v>4867</v>
      </c>
      <c r="AZ75" s="433" t="s">
        <v>4704</v>
      </c>
      <c r="BA75" s="405" t="s">
        <v>4705</v>
      </c>
      <c r="BC75" s="431">
        <f>AW75+AX75</f>
        <v>0</v>
      </c>
      <c r="BD75" s="431">
        <f>H75/(100-BE75)*100</f>
        <v>0</v>
      </c>
      <c r="BE75" s="431">
        <v>0</v>
      </c>
      <c r="BF75" s="431">
        <f>M75</f>
        <v>0</v>
      </c>
      <c r="BH75" s="429">
        <f>G75*AO75</f>
        <v>0</v>
      </c>
      <c r="BI75" s="429">
        <f>G75*AP75</f>
        <v>0</v>
      </c>
      <c r="BJ75" s="429">
        <f>G75*H75</f>
        <v>0</v>
      </c>
      <c r="BK75" s="429" t="s">
        <v>813</v>
      </c>
      <c r="BL75" s="431">
        <v>728</v>
      </c>
    </row>
    <row r="76" spans="1:15" ht="12">
      <c r="A76" s="383"/>
      <c r="C76" s="434" t="s">
        <v>4706</v>
      </c>
      <c r="D76" s="435" t="s">
        <v>4963</v>
      </c>
      <c r="E76" s="436"/>
      <c r="F76" s="436"/>
      <c r="G76" s="436"/>
      <c r="H76" s="436"/>
      <c r="I76" s="436"/>
      <c r="J76" s="436"/>
      <c r="K76" s="436"/>
      <c r="L76" s="436"/>
      <c r="M76" s="436"/>
      <c r="N76" s="437"/>
      <c r="O76" s="383"/>
    </row>
    <row r="77" spans="1:64" ht="12">
      <c r="A77" s="454" t="s">
        <v>1177</v>
      </c>
      <c r="B77" s="455"/>
      <c r="C77" s="455" t="s">
        <v>4964</v>
      </c>
      <c r="D77" s="456" t="s">
        <v>4965</v>
      </c>
      <c r="E77" s="457"/>
      <c r="F77" s="455" t="s">
        <v>236</v>
      </c>
      <c r="G77" s="458">
        <v>1</v>
      </c>
      <c r="H77" s="458"/>
      <c r="I77" s="458">
        <f>G77*AO77</f>
        <v>0</v>
      </c>
      <c r="J77" s="458">
        <f>G77*AP77</f>
        <v>0</v>
      </c>
      <c r="K77" s="458">
        <f>G77*H77</f>
        <v>0</v>
      </c>
      <c r="L77" s="458">
        <v>0</v>
      </c>
      <c r="M77" s="458">
        <f>G77*L77</f>
        <v>0</v>
      </c>
      <c r="N77" s="459" t="s">
        <v>4702</v>
      </c>
      <c r="O77" s="383"/>
      <c r="Z77" s="431">
        <f>IF(AQ77="5",BJ77,0)</f>
        <v>0</v>
      </c>
      <c r="AB77" s="431">
        <f>IF(AQ77="1",BH77,0)</f>
        <v>0</v>
      </c>
      <c r="AC77" s="431">
        <f>IF(AQ77="1",BI77,0)</f>
        <v>0</v>
      </c>
      <c r="AD77" s="431">
        <f>IF(AQ77="7",BH77,0)</f>
        <v>0</v>
      </c>
      <c r="AE77" s="431">
        <f>IF(AQ77="7",BI77,0)</f>
        <v>0</v>
      </c>
      <c r="AF77" s="431">
        <f>IF(AQ77="2",BH77,0)</f>
        <v>0</v>
      </c>
      <c r="AG77" s="431">
        <f>IF(AQ77="2",BI77,0)</f>
        <v>0</v>
      </c>
      <c r="AH77" s="431">
        <f>IF(AQ77="0",BJ77,0)</f>
        <v>0</v>
      </c>
      <c r="AI77" s="405"/>
      <c r="AJ77" s="458">
        <f>IF(AN77=0,K77,0)</f>
        <v>0</v>
      </c>
      <c r="AK77" s="458">
        <f>IF(AN77=15,K77,0)</f>
        <v>0</v>
      </c>
      <c r="AL77" s="458">
        <f>IF(AN77=21,K77,0)</f>
        <v>0</v>
      </c>
      <c r="AN77" s="431">
        <v>21</v>
      </c>
      <c r="AO77" s="431">
        <f>H77*1</f>
        <v>0</v>
      </c>
      <c r="AP77" s="431">
        <f>H77*(1-1)</f>
        <v>0</v>
      </c>
      <c r="AQ77" s="460" t="s">
        <v>241</v>
      </c>
      <c r="AV77" s="431">
        <f>AW77+AX77</f>
        <v>0</v>
      </c>
      <c r="AW77" s="431">
        <f>G77*AO77</f>
        <v>0</v>
      </c>
      <c r="AX77" s="431">
        <f>G77*AP77</f>
        <v>0</v>
      </c>
      <c r="AY77" s="433" t="s">
        <v>4867</v>
      </c>
      <c r="AZ77" s="433" t="s">
        <v>4704</v>
      </c>
      <c r="BA77" s="405" t="s">
        <v>4705</v>
      </c>
      <c r="BC77" s="431">
        <f>AW77+AX77</f>
        <v>0</v>
      </c>
      <c r="BD77" s="431">
        <f>H77/(100-BE77)*100</f>
        <v>0</v>
      </c>
      <c r="BE77" s="431">
        <v>0</v>
      </c>
      <c r="BF77" s="431">
        <f>M77</f>
        <v>0</v>
      </c>
      <c r="BH77" s="458">
        <f>G77*AO77</f>
        <v>0</v>
      </c>
      <c r="BI77" s="458">
        <f>G77*AP77</f>
        <v>0</v>
      </c>
      <c r="BJ77" s="458">
        <f>G77*H77</f>
        <v>0</v>
      </c>
      <c r="BK77" s="458" t="s">
        <v>484</v>
      </c>
      <c r="BL77" s="431">
        <v>728</v>
      </c>
    </row>
    <row r="78" spans="1:64" ht="12">
      <c r="A78" s="425" t="s">
        <v>1180</v>
      </c>
      <c r="B78" s="426"/>
      <c r="C78" s="426" t="s">
        <v>4899</v>
      </c>
      <c r="D78" s="427" t="s">
        <v>4966</v>
      </c>
      <c r="E78" s="428"/>
      <c r="F78" s="426" t="s">
        <v>236</v>
      </c>
      <c r="G78" s="429">
        <v>1</v>
      </c>
      <c r="H78" s="429"/>
      <c r="I78" s="429">
        <f>G78*AO78</f>
        <v>0</v>
      </c>
      <c r="J78" s="429">
        <f>G78*AP78</f>
        <v>0</v>
      </c>
      <c r="K78" s="429">
        <f>G78*H78</f>
        <v>0</v>
      </c>
      <c r="L78" s="429">
        <v>0</v>
      </c>
      <c r="M78" s="429">
        <f>G78*L78</f>
        <v>0</v>
      </c>
      <c r="N78" s="430" t="s">
        <v>4702</v>
      </c>
      <c r="O78" s="383"/>
      <c r="Z78" s="431">
        <f>IF(AQ78="5",BJ78,0)</f>
        <v>0</v>
      </c>
      <c r="AB78" s="431">
        <f>IF(AQ78="1",BH78,0)</f>
        <v>0</v>
      </c>
      <c r="AC78" s="431">
        <f>IF(AQ78="1",BI78,0)</f>
        <v>0</v>
      </c>
      <c r="AD78" s="431">
        <f>IF(AQ78="7",BH78,0)</f>
        <v>0</v>
      </c>
      <c r="AE78" s="431">
        <f>IF(AQ78="7",BI78,0)</f>
        <v>0</v>
      </c>
      <c r="AF78" s="431">
        <f>IF(AQ78="2",BH78,0)</f>
        <v>0</v>
      </c>
      <c r="AG78" s="431">
        <f>IF(AQ78="2",BI78,0)</f>
        <v>0</v>
      </c>
      <c r="AH78" s="431">
        <f>IF(AQ78="0",BJ78,0)</f>
        <v>0</v>
      </c>
      <c r="AI78" s="405"/>
      <c r="AJ78" s="429">
        <f>IF(AN78=0,K78,0)</f>
        <v>0</v>
      </c>
      <c r="AK78" s="429">
        <f>IF(AN78=15,K78,0)</f>
        <v>0</v>
      </c>
      <c r="AL78" s="429">
        <f>IF(AN78=21,K78,0)</f>
        <v>0</v>
      </c>
      <c r="AN78" s="431">
        <v>21</v>
      </c>
      <c r="AO78" s="431">
        <f>H78*0</f>
        <v>0</v>
      </c>
      <c r="AP78" s="431">
        <f>H78*(1-0)</f>
        <v>0</v>
      </c>
      <c r="AQ78" s="432" t="s">
        <v>241</v>
      </c>
      <c r="AV78" s="431">
        <f>AW78+AX78</f>
        <v>0</v>
      </c>
      <c r="AW78" s="431">
        <f>G78*AO78</f>
        <v>0</v>
      </c>
      <c r="AX78" s="431">
        <f>G78*AP78</f>
        <v>0</v>
      </c>
      <c r="AY78" s="433" t="s">
        <v>4867</v>
      </c>
      <c r="AZ78" s="433" t="s">
        <v>4704</v>
      </c>
      <c r="BA78" s="405" t="s">
        <v>4705</v>
      </c>
      <c r="BC78" s="431">
        <f>AW78+AX78</f>
        <v>0</v>
      </c>
      <c r="BD78" s="431">
        <f>H78/(100-BE78)*100</f>
        <v>0</v>
      </c>
      <c r="BE78" s="431">
        <v>0</v>
      </c>
      <c r="BF78" s="431">
        <f>M78</f>
        <v>0</v>
      </c>
      <c r="BH78" s="429">
        <f>G78*AO78</f>
        <v>0</v>
      </c>
      <c r="BI78" s="429">
        <f>G78*AP78</f>
        <v>0</v>
      </c>
      <c r="BJ78" s="429">
        <f>G78*H78</f>
        <v>0</v>
      </c>
      <c r="BK78" s="429" t="s">
        <v>813</v>
      </c>
      <c r="BL78" s="431">
        <v>728</v>
      </c>
    </row>
    <row r="79" spans="1:15" ht="12">
      <c r="A79" s="383"/>
      <c r="C79" s="434" t="s">
        <v>4706</v>
      </c>
      <c r="D79" s="435" t="s">
        <v>4967</v>
      </c>
      <c r="E79" s="436"/>
      <c r="F79" s="436"/>
      <c r="G79" s="436"/>
      <c r="H79" s="436"/>
      <c r="I79" s="436"/>
      <c r="J79" s="436"/>
      <c r="K79" s="436"/>
      <c r="L79" s="436"/>
      <c r="M79" s="436"/>
      <c r="N79" s="437"/>
      <c r="O79" s="383"/>
    </row>
    <row r="80" spans="1:64" ht="12">
      <c r="A80" s="454" t="s">
        <v>1183</v>
      </c>
      <c r="B80" s="455"/>
      <c r="C80" s="455" t="s">
        <v>4968</v>
      </c>
      <c r="D80" s="456" t="s">
        <v>4969</v>
      </c>
      <c r="E80" s="457"/>
      <c r="F80" s="455" t="s">
        <v>236</v>
      </c>
      <c r="G80" s="458">
        <v>1</v>
      </c>
      <c r="H80" s="458"/>
      <c r="I80" s="458">
        <f aca="true" t="shared" si="72" ref="I80:I85">G80*AO80</f>
        <v>0</v>
      </c>
      <c r="J80" s="458">
        <f aca="true" t="shared" si="73" ref="J80:J85">G80*AP80</f>
        <v>0</v>
      </c>
      <c r="K80" s="458">
        <f aca="true" t="shared" si="74" ref="K80:K85">G80*H80</f>
        <v>0</v>
      </c>
      <c r="L80" s="458">
        <v>0</v>
      </c>
      <c r="M80" s="458">
        <f aca="true" t="shared" si="75" ref="M80:M85">G80*L80</f>
        <v>0</v>
      </c>
      <c r="N80" s="459" t="s">
        <v>4702</v>
      </c>
      <c r="O80" s="383"/>
      <c r="Z80" s="431">
        <f aca="true" t="shared" si="76" ref="Z80:Z85">IF(AQ80="5",BJ80,0)</f>
        <v>0</v>
      </c>
      <c r="AB80" s="431">
        <f aca="true" t="shared" si="77" ref="AB80:AB85">IF(AQ80="1",BH80,0)</f>
        <v>0</v>
      </c>
      <c r="AC80" s="431">
        <f aca="true" t="shared" si="78" ref="AC80:AC85">IF(AQ80="1",BI80,0)</f>
        <v>0</v>
      </c>
      <c r="AD80" s="431">
        <f aca="true" t="shared" si="79" ref="AD80:AD85">IF(AQ80="7",BH80,0)</f>
        <v>0</v>
      </c>
      <c r="AE80" s="431">
        <f aca="true" t="shared" si="80" ref="AE80:AE85">IF(AQ80="7",BI80,0)</f>
        <v>0</v>
      </c>
      <c r="AF80" s="431">
        <f aca="true" t="shared" si="81" ref="AF80:AF85">IF(AQ80="2",BH80,0)</f>
        <v>0</v>
      </c>
      <c r="AG80" s="431">
        <f aca="true" t="shared" si="82" ref="AG80:AG85">IF(AQ80="2",BI80,0)</f>
        <v>0</v>
      </c>
      <c r="AH80" s="431">
        <f aca="true" t="shared" si="83" ref="AH80:AH85">IF(AQ80="0",BJ80,0)</f>
        <v>0</v>
      </c>
      <c r="AI80" s="405"/>
      <c r="AJ80" s="458">
        <f aca="true" t="shared" si="84" ref="AJ80:AJ85">IF(AN80=0,K80,0)</f>
        <v>0</v>
      </c>
      <c r="AK80" s="458">
        <f aca="true" t="shared" si="85" ref="AK80:AK85">IF(AN80=15,K80,0)</f>
        <v>0</v>
      </c>
      <c r="AL80" s="458">
        <f aca="true" t="shared" si="86" ref="AL80:AL85">IF(AN80=21,K80,0)</f>
        <v>0</v>
      </c>
      <c r="AN80" s="431">
        <v>21</v>
      </c>
      <c r="AO80" s="431">
        <f>H80*1</f>
        <v>0</v>
      </c>
      <c r="AP80" s="431">
        <f>H80*(1-1)</f>
        <v>0</v>
      </c>
      <c r="AQ80" s="460" t="s">
        <v>241</v>
      </c>
      <c r="AV80" s="431">
        <f aca="true" t="shared" si="87" ref="AV80:AV85">AW80+AX80</f>
        <v>0</v>
      </c>
      <c r="AW80" s="431">
        <f aca="true" t="shared" si="88" ref="AW80:AW85">G80*AO80</f>
        <v>0</v>
      </c>
      <c r="AX80" s="431">
        <f aca="true" t="shared" si="89" ref="AX80:AX85">G80*AP80</f>
        <v>0</v>
      </c>
      <c r="AY80" s="433" t="s">
        <v>4867</v>
      </c>
      <c r="AZ80" s="433" t="s">
        <v>4704</v>
      </c>
      <c r="BA80" s="405" t="s">
        <v>4705</v>
      </c>
      <c r="BC80" s="431">
        <f aca="true" t="shared" si="90" ref="BC80:BC85">AW80+AX80</f>
        <v>0</v>
      </c>
      <c r="BD80" s="431">
        <f aca="true" t="shared" si="91" ref="BD80:BD85">H80/(100-BE80)*100</f>
        <v>0</v>
      </c>
      <c r="BE80" s="431">
        <v>0</v>
      </c>
      <c r="BF80" s="431">
        <f aca="true" t="shared" si="92" ref="BF80:BF85">M80</f>
        <v>0</v>
      </c>
      <c r="BH80" s="458">
        <f aca="true" t="shared" si="93" ref="BH80:BH85">G80*AO80</f>
        <v>0</v>
      </c>
      <c r="BI80" s="458">
        <f aca="true" t="shared" si="94" ref="BI80:BI85">G80*AP80</f>
        <v>0</v>
      </c>
      <c r="BJ80" s="458">
        <f aca="true" t="shared" si="95" ref="BJ80:BJ85">G80*H80</f>
        <v>0</v>
      </c>
      <c r="BK80" s="458" t="s">
        <v>484</v>
      </c>
      <c r="BL80" s="431">
        <v>728</v>
      </c>
    </row>
    <row r="81" spans="1:64" ht="12">
      <c r="A81" s="425" t="s">
        <v>1185</v>
      </c>
      <c r="B81" s="426"/>
      <c r="C81" s="426" t="s">
        <v>4911</v>
      </c>
      <c r="D81" s="427" t="s">
        <v>4970</v>
      </c>
      <c r="E81" s="428"/>
      <c r="F81" s="426" t="s">
        <v>236</v>
      </c>
      <c r="G81" s="429">
        <v>2</v>
      </c>
      <c r="H81" s="429"/>
      <c r="I81" s="429">
        <f t="shared" si="72"/>
        <v>0</v>
      </c>
      <c r="J81" s="429">
        <f t="shared" si="73"/>
        <v>0</v>
      </c>
      <c r="K81" s="429">
        <f t="shared" si="74"/>
        <v>0</v>
      </c>
      <c r="L81" s="429">
        <v>0</v>
      </c>
      <c r="M81" s="429">
        <f t="shared" si="75"/>
        <v>0</v>
      </c>
      <c r="N81" s="430" t="s">
        <v>4702</v>
      </c>
      <c r="O81" s="383"/>
      <c r="Z81" s="431">
        <f t="shared" si="76"/>
        <v>0</v>
      </c>
      <c r="AB81" s="431">
        <f t="shared" si="77"/>
        <v>0</v>
      </c>
      <c r="AC81" s="431">
        <f t="shared" si="78"/>
        <v>0</v>
      </c>
      <c r="AD81" s="431">
        <f t="shared" si="79"/>
        <v>0</v>
      </c>
      <c r="AE81" s="431">
        <f t="shared" si="80"/>
        <v>0</v>
      </c>
      <c r="AF81" s="431">
        <f t="shared" si="81"/>
        <v>0</v>
      </c>
      <c r="AG81" s="431">
        <f t="shared" si="82"/>
        <v>0</v>
      </c>
      <c r="AH81" s="431">
        <f t="shared" si="83"/>
        <v>0</v>
      </c>
      <c r="AI81" s="405"/>
      <c r="AJ81" s="429">
        <f t="shared" si="84"/>
        <v>0</v>
      </c>
      <c r="AK81" s="429">
        <f t="shared" si="85"/>
        <v>0</v>
      </c>
      <c r="AL81" s="429">
        <f t="shared" si="86"/>
        <v>0</v>
      </c>
      <c r="AN81" s="431">
        <v>21</v>
      </c>
      <c r="AO81" s="431">
        <f>H81*0</f>
        <v>0</v>
      </c>
      <c r="AP81" s="431">
        <f>H81*(1-0)</f>
        <v>0</v>
      </c>
      <c r="AQ81" s="432" t="s">
        <v>241</v>
      </c>
      <c r="AV81" s="431">
        <f t="shared" si="87"/>
        <v>0</v>
      </c>
      <c r="AW81" s="431">
        <f t="shared" si="88"/>
        <v>0</v>
      </c>
      <c r="AX81" s="431">
        <f t="shared" si="89"/>
        <v>0</v>
      </c>
      <c r="AY81" s="433" t="s">
        <v>4867</v>
      </c>
      <c r="AZ81" s="433" t="s">
        <v>4704</v>
      </c>
      <c r="BA81" s="405" t="s">
        <v>4705</v>
      </c>
      <c r="BC81" s="431">
        <f t="shared" si="90"/>
        <v>0</v>
      </c>
      <c r="BD81" s="431">
        <f t="shared" si="91"/>
        <v>0</v>
      </c>
      <c r="BE81" s="431">
        <v>0</v>
      </c>
      <c r="BF81" s="431">
        <f t="shared" si="92"/>
        <v>0</v>
      </c>
      <c r="BH81" s="429">
        <f t="shared" si="93"/>
        <v>0</v>
      </c>
      <c r="BI81" s="429">
        <f t="shared" si="94"/>
        <v>0</v>
      </c>
      <c r="BJ81" s="429">
        <f t="shared" si="95"/>
        <v>0</v>
      </c>
      <c r="BK81" s="429" t="s">
        <v>813</v>
      </c>
      <c r="BL81" s="431">
        <v>728</v>
      </c>
    </row>
    <row r="82" spans="1:64" ht="12">
      <c r="A82" s="454" t="s">
        <v>1188</v>
      </c>
      <c r="B82" s="455"/>
      <c r="C82" s="455" t="s">
        <v>4971</v>
      </c>
      <c r="D82" s="456" t="s">
        <v>4972</v>
      </c>
      <c r="E82" s="457"/>
      <c r="F82" s="455" t="s">
        <v>236</v>
      </c>
      <c r="G82" s="458">
        <v>2</v>
      </c>
      <c r="H82" s="458"/>
      <c r="I82" s="458">
        <f t="shared" si="72"/>
        <v>0</v>
      </c>
      <c r="J82" s="458">
        <f t="shared" si="73"/>
        <v>0</v>
      </c>
      <c r="K82" s="458">
        <f t="shared" si="74"/>
        <v>0</v>
      </c>
      <c r="L82" s="458">
        <v>0.007</v>
      </c>
      <c r="M82" s="458">
        <f t="shared" si="75"/>
        <v>0.014</v>
      </c>
      <c r="N82" s="459" t="s">
        <v>4702</v>
      </c>
      <c r="O82" s="383"/>
      <c r="Z82" s="431">
        <f t="shared" si="76"/>
        <v>0</v>
      </c>
      <c r="AB82" s="431">
        <f t="shared" si="77"/>
        <v>0</v>
      </c>
      <c r="AC82" s="431">
        <f t="shared" si="78"/>
        <v>0</v>
      </c>
      <c r="AD82" s="431">
        <f t="shared" si="79"/>
        <v>0</v>
      </c>
      <c r="AE82" s="431">
        <f t="shared" si="80"/>
        <v>0</v>
      </c>
      <c r="AF82" s="431">
        <f t="shared" si="81"/>
        <v>0</v>
      </c>
      <c r="AG82" s="431">
        <f t="shared" si="82"/>
        <v>0</v>
      </c>
      <c r="AH82" s="431">
        <f t="shared" si="83"/>
        <v>0</v>
      </c>
      <c r="AI82" s="405"/>
      <c r="AJ82" s="458">
        <f t="shared" si="84"/>
        <v>0</v>
      </c>
      <c r="AK82" s="458">
        <f t="shared" si="85"/>
        <v>0</v>
      </c>
      <c r="AL82" s="458">
        <f t="shared" si="86"/>
        <v>0</v>
      </c>
      <c r="AN82" s="431">
        <v>21</v>
      </c>
      <c r="AO82" s="431">
        <f>H82*1</f>
        <v>0</v>
      </c>
      <c r="AP82" s="431">
        <f>H82*(1-1)</f>
        <v>0</v>
      </c>
      <c r="AQ82" s="460" t="s">
        <v>241</v>
      </c>
      <c r="AV82" s="431">
        <f t="shared" si="87"/>
        <v>0</v>
      </c>
      <c r="AW82" s="431">
        <f t="shared" si="88"/>
        <v>0</v>
      </c>
      <c r="AX82" s="431">
        <f t="shared" si="89"/>
        <v>0</v>
      </c>
      <c r="AY82" s="433" t="s">
        <v>4867</v>
      </c>
      <c r="AZ82" s="433" t="s">
        <v>4704</v>
      </c>
      <c r="BA82" s="405" t="s">
        <v>4705</v>
      </c>
      <c r="BC82" s="431">
        <f t="shared" si="90"/>
        <v>0</v>
      </c>
      <c r="BD82" s="431">
        <f t="shared" si="91"/>
        <v>0</v>
      </c>
      <c r="BE82" s="431">
        <v>0</v>
      </c>
      <c r="BF82" s="431">
        <f t="shared" si="92"/>
        <v>0.014</v>
      </c>
      <c r="BH82" s="458">
        <f t="shared" si="93"/>
        <v>0</v>
      </c>
      <c r="BI82" s="458">
        <f t="shared" si="94"/>
        <v>0</v>
      </c>
      <c r="BJ82" s="458">
        <f t="shared" si="95"/>
        <v>0</v>
      </c>
      <c r="BK82" s="458" t="s">
        <v>484</v>
      </c>
      <c r="BL82" s="431">
        <v>728</v>
      </c>
    </row>
    <row r="83" spans="1:64" ht="12">
      <c r="A83" s="425" t="s">
        <v>1190</v>
      </c>
      <c r="B83" s="426"/>
      <c r="C83" s="426" t="s">
        <v>4938</v>
      </c>
      <c r="D83" s="427" t="s">
        <v>4939</v>
      </c>
      <c r="E83" s="428"/>
      <c r="F83" s="426" t="s">
        <v>476</v>
      </c>
      <c r="G83" s="429">
        <v>66</v>
      </c>
      <c r="H83" s="429"/>
      <c r="I83" s="429">
        <f t="shared" si="72"/>
        <v>0</v>
      </c>
      <c r="J83" s="429">
        <f t="shared" si="73"/>
        <v>0</v>
      </c>
      <c r="K83" s="429">
        <f t="shared" si="74"/>
        <v>0</v>
      </c>
      <c r="L83" s="429">
        <v>0</v>
      </c>
      <c r="M83" s="429">
        <f t="shared" si="75"/>
        <v>0</v>
      </c>
      <c r="N83" s="430" t="s">
        <v>4702</v>
      </c>
      <c r="O83" s="383"/>
      <c r="Z83" s="431">
        <f t="shared" si="76"/>
        <v>0</v>
      </c>
      <c r="AB83" s="431">
        <f t="shared" si="77"/>
        <v>0</v>
      </c>
      <c r="AC83" s="431">
        <f t="shared" si="78"/>
        <v>0</v>
      </c>
      <c r="AD83" s="431">
        <f t="shared" si="79"/>
        <v>0</v>
      </c>
      <c r="AE83" s="431">
        <f t="shared" si="80"/>
        <v>0</v>
      </c>
      <c r="AF83" s="431">
        <f t="shared" si="81"/>
        <v>0</v>
      </c>
      <c r="AG83" s="431">
        <f t="shared" si="82"/>
        <v>0</v>
      </c>
      <c r="AH83" s="431">
        <f t="shared" si="83"/>
        <v>0</v>
      </c>
      <c r="AI83" s="405"/>
      <c r="AJ83" s="429">
        <f t="shared" si="84"/>
        <v>0</v>
      </c>
      <c r="AK83" s="429">
        <f t="shared" si="85"/>
        <v>0</v>
      </c>
      <c r="AL83" s="429">
        <f t="shared" si="86"/>
        <v>0</v>
      </c>
      <c r="AN83" s="431">
        <v>21</v>
      </c>
      <c r="AO83" s="431">
        <f>H83*0</f>
        <v>0</v>
      </c>
      <c r="AP83" s="431">
        <f>H83*(1-0)</f>
        <v>0</v>
      </c>
      <c r="AQ83" s="432" t="s">
        <v>241</v>
      </c>
      <c r="AV83" s="431">
        <f t="shared" si="87"/>
        <v>0</v>
      </c>
      <c r="AW83" s="431">
        <f t="shared" si="88"/>
        <v>0</v>
      </c>
      <c r="AX83" s="431">
        <f t="shared" si="89"/>
        <v>0</v>
      </c>
      <c r="AY83" s="433" t="s">
        <v>4867</v>
      </c>
      <c r="AZ83" s="433" t="s">
        <v>4704</v>
      </c>
      <c r="BA83" s="405" t="s">
        <v>4705</v>
      </c>
      <c r="BC83" s="431">
        <f t="shared" si="90"/>
        <v>0</v>
      </c>
      <c r="BD83" s="431">
        <f t="shared" si="91"/>
        <v>0</v>
      </c>
      <c r="BE83" s="431">
        <v>0</v>
      </c>
      <c r="BF83" s="431">
        <f t="shared" si="92"/>
        <v>0</v>
      </c>
      <c r="BH83" s="429">
        <f t="shared" si="93"/>
        <v>0</v>
      </c>
      <c r="BI83" s="429">
        <f t="shared" si="94"/>
        <v>0</v>
      </c>
      <c r="BJ83" s="429">
        <f t="shared" si="95"/>
        <v>0</v>
      </c>
      <c r="BK83" s="429" t="s">
        <v>813</v>
      </c>
      <c r="BL83" s="431">
        <v>728</v>
      </c>
    </row>
    <row r="84" spans="1:64" ht="12">
      <c r="A84" s="454" t="s">
        <v>1193</v>
      </c>
      <c r="B84" s="455"/>
      <c r="C84" s="455" t="s">
        <v>4942</v>
      </c>
      <c r="D84" s="456" t="s">
        <v>4943</v>
      </c>
      <c r="E84" s="457"/>
      <c r="F84" s="455" t="s">
        <v>476</v>
      </c>
      <c r="G84" s="458">
        <v>66</v>
      </c>
      <c r="H84" s="458"/>
      <c r="I84" s="458">
        <f t="shared" si="72"/>
        <v>0</v>
      </c>
      <c r="J84" s="458">
        <f t="shared" si="73"/>
        <v>0</v>
      </c>
      <c r="K84" s="458">
        <f t="shared" si="74"/>
        <v>0</v>
      </c>
      <c r="L84" s="458">
        <v>0.00203</v>
      </c>
      <c r="M84" s="458">
        <f t="shared" si="75"/>
        <v>0.13398000000000002</v>
      </c>
      <c r="N84" s="459" t="s">
        <v>4702</v>
      </c>
      <c r="O84" s="383"/>
      <c r="Z84" s="431">
        <f t="shared" si="76"/>
        <v>0</v>
      </c>
      <c r="AB84" s="431">
        <f t="shared" si="77"/>
        <v>0</v>
      </c>
      <c r="AC84" s="431">
        <f t="shared" si="78"/>
        <v>0</v>
      </c>
      <c r="AD84" s="431">
        <f t="shared" si="79"/>
        <v>0</v>
      </c>
      <c r="AE84" s="431">
        <f t="shared" si="80"/>
        <v>0</v>
      </c>
      <c r="AF84" s="431">
        <f t="shared" si="81"/>
        <v>0</v>
      </c>
      <c r="AG84" s="431">
        <f t="shared" si="82"/>
        <v>0</v>
      </c>
      <c r="AH84" s="431">
        <f t="shared" si="83"/>
        <v>0</v>
      </c>
      <c r="AI84" s="405"/>
      <c r="AJ84" s="458">
        <f t="shared" si="84"/>
        <v>0</v>
      </c>
      <c r="AK84" s="458">
        <f t="shared" si="85"/>
        <v>0</v>
      </c>
      <c r="AL84" s="458">
        <f t="shared" si="86"/>
        <v>0</v>
      </c>
      <c r="AN84" s="431">
        <v>21</v>
      </c>
      <c r="AO84" s="431">
        <f>H84*1</f>
        <v>0</v>
      </c>
      <c r="AP84" s="431">
        <f>H84*(1-1)</f>
        <v>0</v>
      </c>
      <c r="AQ84" s="460" t="s">
        <v>241</v>
      </c>
      <c r="AV84" s="431">
        <f t="shared" si="87"/>
        <v>0</v>
      </c>
      <c r="AW84" s="431">
        <f t="shared" si="88"/>
        <v>0</v>
      </c>
      <c r="AX84" s="431">
        <f t="shared" si="89"/>
        <v>0</v>
      </c>
      <c r="AY84" s="433" t="s">
        <v>4867</v>
      </c>
      <c r="AZ84" s="433" t="s">
        <v>4704</v>
      </c>
      <c r="BA84" s="405" t="s">
        <v>4705</v>
      </c>
      <c r="BC84" s="431">
        <f t="shared" si="90"/>
        <v>0</v>
      </c>
      <c r="BD84" s="431">
        <f t="shared" si="91"/>
        <v>0</v>
      </c>
      <c r="BE84" s="431">
        <v>0</v>
      </c>
      <c r="BF84" s="431">
        <f t="shared" si="92"/>
        <v>0.13398000000000002</v>
      </c>
      <c r="BH84" s="458">
        <f t="shared" si="93"/>
        <v>0</v>
      </c>
      <c r="BI84" s="458">
        <f t="shared" si="94"/>
        <v>0</v>
      </c>
      <c r="BJ84" s="458">
        <f t="shared" si="95"/>
        <v>0</v>
      </c>
      <c r="BK84" s="458" t="s">
        <v>484</v>
      </c>
      <c r="BL84" s="431">
        <v>728</v>
      </c>
    </row>
    <row r="85" spans="1:64" ht="12">
      <c r="A85" s="425" t="s">
        <v>1201</v>
      </c>
      <c r="B85" s="426"/>
      <c r="C85" s="426" t="s">
        <v>4973</v>
      </c>
      <c r="D85" s="427" t="s">
        <v>4974</v>
      </c>
      <c r="E85" s="428"/>
      <c r="F85" s="426" t="s">
        <v>183</v>
      </c>
      <c r="G85" s="429">
        <v>0.51661</v>
      </c>
      <c r="H85" s="429"/>
      <c r="I85" s="429">
        <f t="shared" si="72"/>
        <v>0</v>
      </c>
      <c r="J85" s="429">
        <f t="shared" si="73"/>
        <v>0</v>
      </c>
      <c r="K85" s="429">
        <f t="shared" si="74"/>
        <v>0</v>
      </c>
      <c r="L85" s="429">
        <v>0</v>
      </c>
      <c r="M85" s="429">
        <f t="shared" si="75"/>
        <v>0</v>
      </c>
      <c r="N85" s="430" t="s">
        <v>4702</v>
      </c>
      <c r="O85" s="383"/>
      <c r="Z85" s="431">
        <f t="shared" si="76"/>
        <v>0</v>
      </c>
      <c r="AB85" s="431">
        <f t="shared" si="77"/>
        <v>0</v>
      </c>
      <c r="AC85" s="431">
        <f t="shared" si="78"/>
        <v>0</v>
      </c>
      <c r="AD85" s="431">
        <f t="shared" si="79"/>
        <v>0</v>
      </c>
      <c r="AE85" s="431">
        <f t="shared" si="80"/>
        <v>0</v>
      </c>
      <c r="AF85" s="431">
        <f t="shared" si="81"/>
        <v>0</v>
      </c>
      <c r="AG85" s="431">
        <f t="shared" si="82"/>
        <v>0</v>
      </c>
      <c r="AH85" s="431">
        <f t="shared" si="83"/>
        <v>0</v>
      </c>
      <c r="AI85" s="405"/>
      <c r="AJ85" s="429">
        <f t="shared" si="84"/>
        <v>0</v>
      </c>
      <c r="AK85" s="429">
        <f t="shared" si="85"/>
        <v>0</v>
      </c>
      <c r="AL85" s="429">
        <f t="shared" si="86"/>
        <v>0</v>
      </c>
      <c r="AN85" s="431">
        <v>21</v>
      </c>
      <c r="AO85" s="431">
        <f>H85*0</f>
        <v>0</v>
      </c>
      <c r="AP85" s="431">
        <f>H85*(1-0)</f>
        <v>0</v>
      </c>
      <c r="AQ85" s="432" t="s">
        <v>200</v>
      </c>
      <c r="AV85" s="431">
        <f t="shared" si="87"/>
        <v>0</v>
      </c>
      <c r="AW85" s="431">
        <f t="shared" si="88"/>
        <v>0</v>
      </c>
      <c r="AX85" s="431">
        <f t="shared" si="89"/>
        <v>0</v>
      </c>
      <c r="AY85" s="433" t="s">
        <v>4867</v>
      </c>
      <c r="AZ85" s="433" t="s">
        <v>4704</v>
      </c>
      <c r="BA85" s="405" t="s">
        <v>4705</v>
      </c>
      <c r="BC85" s="431">
        <f t="shared" si="90"/>
        <v>0</v>
      </c>
      <c r="BD85" s="431">
        <f t="shared" si="91"/>
        <v>0</v>
      </c>
      <c r="BE85" s="431">
        <v>0</v>
      </c>
      <c r="BF85" s="431">
        <f t="shared" si="92"/>
        <v>0</v>
      </c>
      <c r="BH85" s="429">
        <f t="shared" si="93"/>
        <v>0</v>
      </c>
      <c r="BI85" s="429">
        <f t="shared" si="94"/>
        <v>0</v>
      </c>
      <c r="BJ85" s="429">
        <f t="shared" si="95"/>
        <v>0</v>
      </c>
      <c r="BK85" s="429" t="s">
        <v>813</v>
      </c>
      <c r="BL85" s="431">
        <v>728</v>
      </c>
    </row>
    <row r="86" spans="1:47" ht="12">
      <c r="A86" s="438"/>
      <c r="B86" s="439"/>
      <c r="C86" s="439" t="s">
        <v>2710</v>
      </c>
      <c r="D86" s="440" t="s">
        <v>4835</v>
      </c>
      <c r="E86" s="441"/>
      <c r="F86" s="442" t="s">
        <v>4598</v>
      </c>
      <c r="G86" s="442" t="s">
        <v>4598</v>
      </c>
      <c r="H86" s="442" t="s">
        <v>4598</v>
      </c>
      <c r="I86" s="424">
        <f>SUM(I87:I89)</f>
        <v>0</v>
      </c>
      <c r="J86" s="424">
        <f>SUM(J87:J89)</f>
        <v>0</v>
      </c>
      <c r="K86" s="424">
        <f>SUM(K87:K89)</f>
        <v>0</v>
      </c>
      <c r="L86" s="405"/>
      <c r="M86" s="424">
        <f>SUM(M87:M89)</f>
        <v>0</v>
      </c>
      <c r="N86" s="443"/>
      <c r="O86" s="383"/>
      <c r="AI86" s="405"/>
      <c r="AS86" s="424">
        <f>SUM(AJ87:AJ89)</f>
        <v>0</v>
      </c>
      <c r="AT86" s="424">
        <f>SUM(AK87:AK89)</f>
        <v>0</v>
      </c>
      <c r="AU86" s="424">
        <f>SUM(AL87:AL89)</f>
        <v>0</v>
      </c>
    </row>
    <row r="87" spans="1:64" ht="12">
      <c r="A87" s="425" t="s">
        <v>1208</v>
      </c>
      <c r="B87" s="426"/>
      <c r="C87" s="426" t="s">
        <v>4975</v>
      </c>
      <c r="D87" s="427" t="s">
        <v>4976</v>
      </c>
      <c r="E87" s="428"/>
      <c r="F87" s="426" t="s">
        <v>4838</v>
      </c>
      <c r="G87" s="429">
        <v>16</v>
      </c>
      <c r="H87" s="429"/>
      <c r="I87" s="429">
        <f>G87*AO87</f>
        <v>0</v>
      </c>
      <c r="J87" s="429">
        <f>G87*AP87</f>
        <v>0</v>
      </c>
      <c r="K87" s="429">
        <f>G87*H87</f>
        <v>0</v>
      </c>
      <c r="L87" s="429">
        <v>0</v>
      </c>
      <c r="M87" s="429">
        <f>G87*L87</f>
        <v>0</v>
      </c>
      <c r="N87" s="430" t="s">
        <v>4702</v>
      </c>
      <c r="O87" s="383"/>
      <c r="Z87" s="431">
        <f>IF(AQ87="5",BJ87,0)</f>
        <v>0</v>
      </c>
      <c r="AB87" s="431">
        <f>IF(AQ87="1",BH87,0)</f>
        <v>0</v>
      </c>
      <c r="AC87" s="431">
        <f>IF(AQ87="1",BI87,0)</f>
        <v>0</v>
      </c>
      <c r="AD87" s="431">
        <f>IF(AQ87="7",BH87,0)</f>
        <v>0</v>
      </c>
      <c r="AE87" s="431">
        <f>IF(AQ87="7",BI87,0)</f>
        <v>0</v>
      </c>
      <c r="AF87" s="431">
        <f>IF(AQ87="2",BH87,0)</f>
        <v>0</v>
      </c>
      <c r="AG87" s="431">
        <f>IF(AQ87="2",BI87,0)</f>
        <v>0</v>
      </c>
      <c r="AH87" s="431">
        <f>IF(AQ87="0",BJ87,0)</f>
        <v>0</v>
      </c>
      <c r="AI87" s="405"/>
      <c r="AJ87" s="429">
        <f>IF(AN87=0,K87,0)</f>
        <v>0</v>
      </c>
      <c r="AK87" s="429">
        <f>IF(AN87=15,K87,0)</f>
        <v>0</v>
      </c>
      <c r="AL87" s="429">
        <f>IF(AN87=21,K87,0)</f>
        <v>0</v>
      </c>
      <c r="AN87" s="431">
        <v>21</v>
      </c>
      <c r="AO87" s="431">
        <f>H87*0</f>
        <v>0</v>
      </c>
      <c r="AP87" s="431">
        <f>H87*(1-0)</f>
        <v>0</v>
      </c>
      <c r="AQ87" s="432" t="s">
        <v>85</v>
      </c>
      <c r="AV87" s="431">
        <f>AW87+AX87</f>
        <v>0</v>
      </c>
      <c r="AW87" s="431">
        <f>G87*AO87</f>
        <v>0</v>
      </c>
      <c r="AX87" s="431">
        <f>G87*AP87</f>
        <v>0</v>
      </c>
      <c r="AY87" s="433" t="s">
        <v>4839</v>
      </c>
      <c r="AZ87" s="433" t="s">
        <v>4840</v>
      </c>
      <c r="BA87" s="405" t="s">
        <v>4705</v>
      </c>
      <c r="BC87" s="431">
        <f>AW87+AX87</f>
        <v>0</v>
      </c>
      <c r="BD87" s="431">
        <f>H87/(100-BE87)*100</f>
        <v>0</v>
      </c>
      <c r="BE87" s="431">
        <v>0</v>
      </c>
      <c r="BF87" s="431">
        <f>M87</f>
        <v>0</v>
      </c>
      <c r="BH87" s="429">
        <f>G87*AO87</f>
        <v>0</v>
      </c>
      <c r="BI87" s="429">
        <f>G87*AP87</f>
        <v>0</v>
      </c>
      <c r="BJ87" s="429">
        <f>G87*H87</f>
        <v>0</v>
      </c>
      <c r="BK87" s="429" t="s">
        <v>813</v>
      </c>
      <c r="BL87" s="431">
        <v>90</v>
      </c>
    </row>
    <row r="88" spans="1:15" ht="12">
      <c r="A88" s="383"/>
      <c r="C88" s="434" t="s">
        <v>4706</v>
      </c>
      <c r="D88" s="435" t="s">
        <v>4977</v>
      </c>
      <c r="E88" s="436"/>
      <c r="F88" s="436"/>
      <c r="G88" s="436"/>
      <c r="H88" s="436"/>
      <c r="I88" s="436"/>
      <c r="J88" s="436"/>
      <c r="K88" s="436"/>
      <c r="L88" s="436"/>
      <c r="M88" s="436"/>
      <c r="N88" s="437"/>
      <c r="O88" s="383"/>
    </row>
    <row r="89" spans="1:64" ht="12">
      <c r="A89" s="461" t="s">
        <v>1214</v>
      </c>
      <c r="B89" s="462"/>
      <c r="C89" s="462" t="s">
        <v>4975</v>
      </c>
      <c r="D89" s="463" t="s">
        <v>4978</v>
      </c>
      <c r="E89" s="464"/>
      <c r="F89" s="462" t="s">
        <v>4838</v>
      </c>
      <c r="G89" s="465">
        <v>12</v>
      </c>
      <c r="H89" s="465"/>
      <c r="I89" s="465">
        <f>G89*AO89</f>
        <v>0</v>
      </c>
      <c r="J89" s="465">
        <f>G89*AP89</f>
        <v>0</v>
      </c>
      <c r="K89" s="465">
        <f>G89*H89</f>
        <v>0</v>
      </c>
      <c r="L89" s="465">
        <v>0</v>
      </c>
      <c r="M89" s="465">
        <f>G89*L89</f>
        <v>0</v>
      </c>
      <c r="N89" s="466" t="s">
        <v>4702</v>
      </c>
      <c r="O89" s="383"/>
      <c r="Z89" s="431">
        <f>IF(AQ89="5",BJ89,0)</f>
        <v>0</v>
      </c>
      <c r="AB89" s="431">
        <f>IF(AQ89="1",BH89,0)</f>
        <v>0</v>
      </c>
      <c r="AC89" s="431">
        <f>IF(AQ89="1",BI89,0)</f>
        <v>0</v>
      </c>
      <c r="AD89" s="431">
        <f>IF(AQ89="7",BH89,0)</f>
        <v>0</v>
      </c>
      <c r="AE89" s="431">
        <f>IF(AQ89="7",BI89,0)</f>
        <v>0</v>
      </c>
      <c r="AF89" s="431">
        <f>IF(AQ89="2",BH89,0)</f>
        <v>0</v>
      </c>
      <c r="AG89" s="431">
        <f>IF(AQ89="2",BI89,0)</f>
        <v>0</v>
      </c>
      <c r="AH89" s="431">
        <f>IF(AQ89="0",BJ89,0)</f>
        <v>0</v>
      </c>
      <c r="AI89" s="405"/>
      <c r="AJ89" s="429">
        <f>IF(AN89=0,K89,0)</f>
        <v>0</v>
      </c>
      <c r="AK89" s="429">
        <f>IF(AN89=15,K89,0)</f>
        <v>0</v>
      </c>
      <c r="AL89" s="429">
        <f>IF(AN89=21,K89,0)</f>
        <v>0</v>
      </c>
      <c r="AN89" s="431">
        <v>21</v>
      </c>
      <c r="AO89" s="431">
        <f>H89*0</f>
        <v>0</v>
      </c>
      <c r="AP89" s="431">
        <f>H89*(1-0)</f>
        <v>0</v>
      </c>
      <c r="AQ89" s="432" t="s">
        <v>85</v>
      </c>
      <c r="AV89" s="431">
        <f>AW89+AX89</f>
        <v>0</v>
      </c>
      <c r="AW89" s="431">
        <f>G89*AO89</f>
        <v>0</v>
      </c>
      <c r="AX89" s="431">
        <f>G89*AP89</f>
        <v>0</v>
      </c>
      <c r="AY89" s="433" t="s">
        <v>4839</v>
      </c>
      <c r="AZ89" s="433" t="s">
        <v>4840</v>
      </c>
      <c r="BA89" s="405" t="s">
        <v>4705</v>
      </c>
      <c r="BC89" s="431">
        <f>AW89+AX89</f>
        <v>0</v>
      </c>
      <c r="BD89" s="431">
        <f>H89/(100-BE89)*100</f>
        <v>0</v>
      </c>
      <c r="BE89" s="431">
        <v>0</v>
      </c>
      <c r="BF89" s="431">
        <f>M89</f>
        <v>0</v>
      </c>
      <c r="BH89" s="429">
        <f>G89*AO89</f>
        <v>0</v>
      </c>
      <c r="BI89" s="429">
        <f>G89*AP89</f>
        <v>0</v>
      </c>
      <c r="BJ89" s="429">
        <f>G89*H89</f>
        <v>0</v>
      </c>
      <c r="BK89" s="429" t="s">
        <v>813</v>
      </c>
      <c r="BL89" s="431">
        <v>90</v>
      </c>
    </row>
    <row r="90" spans="1:14" ht="12">
      <c r="A90" s="450"/>
      <c r="B90" s="450"/>
      <c r="C90" s="450"/>
      <c r="D90" s="450"/>
      <c r="E90" s="450"/>
      <c r="F90" s="450"/>
      <c r="G90" s="450"/>
      <c r="H90" s="450"/>
      <c r="I90" s="451" t="s">
        <v>4845</v>
      </c>
      <c r="J90" s="379"/>
      <c r="K90" s="452">
        <f>K12+K20+K86</f>
        <v>0</v>
      </c>
      <c r="L90" s="450"/>
      <c r="M90" s="450"/>
      <c r="N90" s="450"/>
    </row>
    <row r="91" ht="11.25" customHeight="1">
      <c r="A91" s="453" t="s">
        <v>41</v>
      </c>
    </row>
    <row r="92" spans="1:14" ht="12">
      <c r="A92" s="389" t="s">
        <v>4979</v>
      </c>
      <c r="B92" s="385"/>
      <c r="C92" s="385"/>
      <c r="D92" s="385"/>
      <c r="E92" s="385"/>
      <c r="F92" s="385"/>
      <c r="G92" s="385"/>
      <c r="H92" s="385"/>
      <c r="I92" s="385"/>
      <c r="J92" s="385"/>
      <c r="K92" s="385"/>
      <c r="L92" s="385"/>
      <c r="M92" s="385"/>
      <c r="N92" s="385"/>
    </row>
  </sheetData>
  <mergeCells count="109">
    <mergeCell ref="D86:E86"/>
    <mergeCell ref="D87:E87"/>
    <mergeCell ref="D88:N88"/>
    <mergeCell ref="D89:E89"/>
    <mergeCell ref="I90:J90"/>
    <mergeCell ref="A92:N92"/>
    <mergeCell ref="D80:E80"/>
    <mergeCell ref="D81:E81"/>
    <mergeCell ref="D82:E82"/>
    <mergeCell ref="D83:E83"/>
    <mergeCell ref="D84:E84"/>
    <mergeCell ref="D85:E85"/>
    <mergeCell ref="D74:E74"/>
    <mergeCell ref="D75:E75"/>
    <mergeCell ref="D76:N76"/>
    <mergeCell ref="D77:E77"/>
    <mergeCell ref="D78:E78"/>
    <mergeCell ref="D79:N79"/>
    <mergeCell ref="D68:E68"/>
    <mergeCell ref="D69:N69"/>
    <mergeCell ref="D70:E70"/>
    <mergeCell ref="D71:E71"/>
    <mergeCell ref="D72:N72"/>
    <mergeCell ref="D73:E73"/>
    <mergeCell ref="D62:E62"/>
    <mergeCell ref="D63:E63"/>
    <mergeCell ref="D64:E64"/>
    <mergeCell ref="D65:E65"/>
    <mergeCell ref="D66:N66"/>
    <mergeCell ref="D67:E67"/>
    <mergeCell ref="D56:N56"/>
    <mergeCell ref="D57:E57"/>
    <mergeCell ref="D58:E58"/>
    <mergeCell ref="D59:E59"/>
    <mergeCell ref="D60:E60"/>
    <mergeCell ref="D61:E61"/>
    <mergeCell ref="D50:E50"/>
    <mergeCell ref="D51:E51"/>
    <mergeCell ref="D52:E52"/>
    <mergeCell ref="D53:N53"/>
    <mergeCell ref="D54:E54"/>
    <mergeCell ref="D55:E55"/>
    <mergeCell ref="D44:E44"/>
    <mergeCell ref="D45:E45"/>
    <mergeCell ref="D46:N46"/>
    <mergeCell ref="D47:E47"/>
    <mergeCell ref="D48:E48"/>
    <mergeCell ref="D49:E49"/>
    <mergeCell ref="D38:E38"/>
    <mergeCell ref="D39:N39"/>
    <mergeCell ref="D40:E40"/>
    <mergeCell ref="D41:E41"/>
    <mergeCell ref="D42:N42"/>
    <mergeCell ref="D43:E43"/>
    <mergeCell ref="D32:E32"/>
    <mergeCell ref="D33:E33"/>
    <mergeCell ref="D34:E34"/>
    <mergeCell ref="D35:E35"/>
    <mergeCell ref="D36:N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N17"/>
    <mergeCell ref="D18:E18"/>
    <mergeCell ref="D19:E19"/>
    <mergeCell ref="D10:E10"/>
    <mergeCell ref="I10:K10"/>
    <mergeCell ref="L10:M10"/>
    <mergeCell ref="D11:E11"/>
    <mergeCell ref="D12:E12"/>
    <mergeCell ref="D13:E13"/>
    <mergeCell ref="A8:C9"/>
    <mergeCell ref="D8:E9"/>
    <mergeCell ref="F8:G9"/>
    <mergeCell ref="H8:H9"/>
    <mergeCell ref="I8:I9"/>
    <mergeCell ref="J8:N9"/>
    <mergeCell ref="A6:C7"/>
    <mergeCell ref="D6:E7"/>
    <mergeCell ref="F6:G7"/>
    <mergeCell ref="H6:H7"/>
    <mergeCell ref="I6:I7"/>
    <mergeCell ref="J6:N7"/>
    <mergeCell ref="A4:C5"/>
    <mergeCell ref="D4:E5"/>
    <mergeCell ref="F4:G5"/>
    <mergeCell ref="H4:H5"/>
    <mergeCell ref="I4:I5"/>
    <mergeCell ref="J4:N5"/>
    <mergeCell ref="A1:N1"/>
    <mergeCell ref="A2:C3"/>
    <mergeCell ref="D2:E3"/>
    <mergeCell ref="F2:G3"/>
    <mergeCell ref="H2:H3"/>
    <mergeCell ref="I2:I3"/>
    <mergeCell ref="J2:N3"/>
  </mergeCells>
  <printOptions/>
  <pageMargins left="0.394" right="0.394" top="0.591" bottom="0.591" header="0.5" footer="0.5"/>
  <pageSetup fitToHeight="0" fitToWidth="1" horizontalDpi="600" verticalDpi="600" orientation="landscape" paperSize="9" scale="45"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BM10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144</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4313</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ROUND(J82,2)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ROUND((SUM(BE82:BE103)),2)</f>
        <v>0</v>
      </c>
      <c r="I33" s="90">
        <v>0.21</v>
      </c>
      <c r="J33" s="89">
        <f>ROUND(((SUM(BE82:BE103))*I33),2)</f>
        <v>0</v>
      </c>
      <c r="L33" s="33"/>
    </row>
    <row r="34" spans="2:12" s="1" customFormat="1" ht="14.45" customHeight="1">
      <c r="B34" s="33"/>
      <c r="E34" s="28" t="s">
        <v>49</v>
      </c>
      <c r="F34" s="89">
        <f>ROUND((SUM(BF82:BF103)),2)</f>
        <v>0</v>
      </c>
      <c r="I34" s="90">
        <v>0.15</v>
      </c>
      <c r="J34" s="89">
        <f>ROUND(((SUM(BF82:BF103))*I34),2)</f>
        <v>0</v>
      </c>
      <c r="L34" s="33"/>
    </row>
    <row r="35" spans="2:12" s="1" customFormat="1" ht="14.45" customHeight="1" hidden="1">
      <c r="B35" s="33"/>
      <c r="E35" s="28" t="s">
        <v>50</v>
      </c>
      <c r="F35" s="89">
        <f>ROUND((SUM(BG82:BG103)),2)</f>
        <v>0</v>
      </c>
      <c r="I35" s="90">
        <v>0.21</v>
      </c>
      <c r="J35" s="89">
        <f>0</f>
        <v>0</v>
      </c>
      <c r="L35" s="33"/>
    </row>
    <row r="36" spans="2:12" s="1" customFormat="1" ht="14.45" customHeight="1" hidden="1">
      <c r="B36" s="33"/>
      <c r="E36" s="28" t="s">
        <v>51</v>
      </c>
      <c r="F36" s="89">
        <f>ROUND((SUM(BH82:BH103)),2)</f>
        <v>0</v>
      </c>
      <c r="I36" s="90">
        <v>0.15</v>
      </c>
      <c r="J36" s="89">
        <f>0</f>
        <v>0</v>
      </c>
      <c r="L36" s="33"/>
    </row>
    <row r="37" spans="2:12" s="1" customFormat="1" ht="14.45" customHeight="1" hidden="1">
      <c r="B37" s="33"/>
      <c r="E37" s="28" t="s">
        <v>52</v>
      </c>
      <c r="F37" s="89">
        <f>ROUND((SUM(BI82:BI103)),2)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VON - vedlejší a ostatní náklady</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J82</f>
        <v>0</v>
      </c>
      <c r="L59" s="33"/>
      <c r="AU59" s="18" t="s">
        <v>152</v>
      </c>
    </row>
    <row r="60" spans="2:12" s="8" customFormat="1" ht="24.95" customHeight="1">
      <c r="B60" s="100"/>
      <c r="D60" s="101" t="s">
        <v>327</v>
      </c>
      <c r="E60" s="102"/>
      <c r="F60" s="102"/>
      <c r="G60" s="102"/>
      <c r="H60" s="102"/>
      <c r="I60" s="102"/>
      <c r="J60" s="103">
        <f>J83</f>
        <v>0</v>
      </c>
      <c r="L60" s="100"/>
    </row>
    <row r="61" spans="2:12" s="9" customFormat="1" ht="19.9" customHeight="1">
      <c r="B61" s="104"/>
      <c r="D61" s="105" t="s">
        <v>328</v>
      </c>
      <c r="E61" s="106"/>
      <c r="F61" s="106"/>
      <c r="G61" s="106"/>
      <c r="H61" s="106"/>
      <c r="I61" s="106"/>
      <c r="J61" s="107">
        <f>J84</f>
        <v>0</v>
      </c>
      <c r="L61" s="104"/>
    </row>
    <row r="62" spans="2:12" s="9" customFormat="1" ht="19.9" customHeight="1">
      <c r="B62" s="104"/>
      <c r="D62" s="105" t="s">
        <v>802</v>
      </c>
      <c r="E62" s="106"/>
      <c r="F62" s="106"/>
      <c r="G62" s="106"/>
      <c r="H62" s="106"/>
      <c r="I62" s="106"/>
      <c r="J62" s="107">
        <f>J91</f>
        <v>0</v>
      </c>
      <c r="L62" s="104"/>
    </row>
    <row r="63" spans="2:12" s="1" customFormat="1" ht="21.75" customHeight="1">
      <c r="B63" s="33"/>
      <c r="L63" s="33"/>
    </row>
    <row r="64" spans="2:12" s="1" customFormat="1" ht="6.95" customHeight="1">
      <c r="B64" s="42"/>
      <c r="C64" s="43"/>
      <c r="D64" s="43"/>
      <c r="E64" s="43"/>
      <c r="F64" s="43"/>
      <c r="G64" s="43"/>
      <c r="H64" s="43"/>
      <c r="I64" s="43"/>
      <c r="J64" s="43"/>
      <c r="K64" s="43"/>
      <c r="L64" s="33"/>
    </row>
    <row r="68" spans="2:12" s="1" customFormat="1" ht="6.95" customHeight="1">
      <c r="B68" s="44"/>
      <c r="C68" s="45"/>
      <c r="D68" s="45"/>
      <c r="E68" s="45"/>
      <c r="F68" s="45"/>
      <c r="G68" s="45"/>
      <c r="H68" s="45"/>
      <c r="I68" s="45"/>
      <c r="J68" s="45"/>
      <c r="K68" s="45"/>
      <c r="L68" s="33"/>
    </row>
    <row r="69" spans="2:12" s="1" customFormat="1" ht="24.95" customHeight="1">
      <c r="B69" s="33"/>
      <c r="C69" s="22" t="s">
        <v>162</v>
      </c>
      <c r="L69" s="33"/>
    </row>
    <row r="70" spans="2:12" s="1" customFormat="1" ht="6.95" customHeight="1">
      <c r="B70" s="33"/>
      <c r="L70" s="33"/>
    </row>
    <row r="71" spans="2:12" s="1" customFormat="1" ht="12" customHeight="1">
      <c r="B71" s="33"/>
      <c r="C71" s="28" t="s">
        <v>17</v>
      </c>
      <c r="L71" s="33"/>
    </row>
    <row r="72" spans="2:12" s="1" customFormat="1" ht="16.5" customHeight="1">
      <c r="B72" s="33"/>
      <c r="E72" s="315" t="str">
        <f>E7</f>
        <v>ZŠ P. HOLÉHO - PŘESTAVBA PLAVECKÉHO PAVILONU</v>
      </c>
      <c r="F72" s="316"/>
      <c r="G72" s="316"/>
      <c r="H72" s="316"/>
      <c r="L72" s="33"/>
    </row>
    <row r="73" spans="2:12" s="1" customFormat="1" ht="12" customHeight="1">
      <c r="B73" s="33"/>
      <c r="C73" s="28" t="s">
        <v>146</v>
      </c>
      <c r="L73" s="33"/>
    </row>
    <row r="74" spans="2:12" s="1" customFormat="1" ht="16.5" customHeight="1">
      <c r="B74" s="33"/>
      <c r="E74" s="281" t="str">
        <f>E9</f>
        <v>VON - vedlejší a ostatní náklady</v>
      </c>
      <c r="F74" s="317"/>
      <c r="G74" s="317"/>
      <c r="H74" s="317"/>
      <c r="L74" s="33"/>
    </row>
    <row r="75" spans="2:12" s="1" customFormat="1" ht="6.95" customHeight="1">
      <c r="B75" s="33"/>
      <c r="L75" s="33"/>
    </row>
    <row r="76" spans="2:12" s="1" customFormat="1" ht="12" customHeight="1">
      <c r="B76" s="33"/>
      <c r="C76" s="28" t="s">
        <v>21</v>
      </c>
      <c r="F76" s="26" t="str">
        <f>F12</f>
        <v>Prokopa Holého 2632, Louny, 440 01</v>
      </c>
      <c r="I76" s="28" t="s">
        <v>23</v>
      </c>
      <c r="J76" s="50" t="str">
        <f>IF(J12="","",J12)</f>
        <v>21. 9. 2022</v>
      </c>
      <c r="L76" s="33"/>
    </row>
    <row r="77" spans="2:12" s="1" customFormat="1" ht="6.95" customHeight="1">
      <c r="B77" s="33"/>
      <c r="L77" s="33"/>
    </row>
    <row r="78" spans="2:12" s="1" customFormat="1" ht="15.2" customHeight="1">
      <c r="B78" s="33"/>
      <c r="C78" s="28" t="s">
        <v>25</v>
      </c>
      <c r="F78" s="26" t="str">
        <f>E15</f>
        <v>Město Louny</v>
      </c>
      <c r="I78" s="28" t="s">
        <v>32</v>
      </c>
      <c r="J78" s="31" t="str">
        <f>E21</f>
        <v>RYSIK Design s.r.o.</v>
      </c>
      <c r="L78" s="33"/>
    </row>
    <row r="79" spans="2:12" s="1" customFormat="1" ht="25.7" customHeight="1">
      <c r="B79" s="33"/>
      <c r="C79" s="28" t="s">
        <v>30</v>
      </c>
      <c r="F79" s="26" t="str">
        <f>IF(E18="","",E18)</f>
        <v>Vyplň údaj</v>
      </c>
      <c r="I79" s="28" t="s">
        <v>37</v>
      </c>
      <c r="J79" s="31" t="str">
        <f>E24</f>
        <v>ing. Kateřina Tumpachová</v>
      </c>
      <c r="L79" s="33"/>
    </row>
    <row r="80" spans="2:12" s="1" customFormat="1" ht="10.35" customHeight="1">
      <c r="B80" s="33"/>
      <c r="L80" s="33"/>
    </row>
    <row r="81" spans="2:20" s="10" customFormat="1" ht="29.25" customHeight="1">
      <c r="B81" s="108"/>
      <c r="C81" s="109" t="s">
        <v>163</v>
      </c>
      <c r="D81" s="110" t="s">
        <v>62</v>
      </c>
      <c r="E81" s="110" t="s">
        <v>58</v>
      </c>
      <c r="F81" s="110" t="s">
        <v>59</v>
      </c>
      <c r="G81" s="110" t="s">
        <v>164</v>
      </c>
      <c r="H81" s="110" t="s">
        <v>165</v>
      </c>
      <c r="I81" s="110" t="s">
        <v>166</v>
      </c>
      <c r="J81" s="110" t="s">
        <v>151</v>
      </c>
      <c r="K81" s="111" t="s">
        <v>167</v>
      </c>
      <c r="L81" s="108"/>
      <c r="M81" s="57" t="s">
        <v>3</v>
      </c>
      <c r="N81" s="58" t="s">
        <v>47</v>
      </c>
      <c r="O81" s="58" t="s">
        <v>168</v>
      </c>
      <c r="P81" s="58" t="s">
        <v>169</v>
      </c>
      <c r="Q81" s="58" t="s">
        <v>170</v>
      </c>
      <c r="R81" s="58" t="s">
        <v>171</v>
      </c>
      <c r="S81" s="58" t="s">
        <v>172</v>
      </c>
      <c r="T81" s="59" t="s">
        <v>173</v>
      </c>
    </row>
    <row r="82" spans="2:63" s="1" customFormat="1" ht="22.9" customHeight="1">
      <c r="B82" s="33"/>
      <c r="C82" s="62" t="s">
        <v>174</v>
      </c>
      <c r="J82" s="112">
        <f>BK82</f>
        <v>0</v>
      </c>
      <c r="L82" s="33"/>
      <c r="M82" s="60"/>
      <c r="N82" s="51"/>
      <c r="O82" s="51"/>
      <c r="P82" s="113">
        <f>P83</f>
        <v>0</v>
      </c>
      <c r="Q82" s="51"/>
      <c r="R82" s="113">
        <f>R83</f>
        <v>0</v>
      </c>
      <c r="S82" s="51"/>
      <c r="T82" s="114">
        <f>T83</f>
        <v>0</v>
      </c>
      <c r="AT82" s="18" t="s">
        <v>76</v>
      </c>
      <c r="AU82" s="18" t="s">
        <v>152</v>
      </c>
      <c r="BK82" s="115">
        <f>BK83</f>
        <v>0</v>
      </c>
    </row>
    <row r="83" spans="2:63" s="11" customFormat="1" ht="25.9" customHeight="1">
      <c r="B83" s="116"/>
      <c r="D83" s="117" t="s">
        <v>76</v>
      </c>
      <c r="E83" s="118" t="s">
        <v>533</v>
      </c>
      <c r="F83" s="118" t="s">
        <v>534</v>
      </c>
      <c r="I83" s="119"/>
      <c r="J83" s="120">
        <f>BK83</f>
        <v>0</v>
      </c>
      <c r="L83" s="116"/>
      <c r="M83" s="121"/>
      <c r="P83" s="122">
        <f>P84+P91</f>
        <v>0</v>
      </c>
      <c r="R83" s="122">
        <f>R84+R91</f>
        <v>0</v>
      </c>
      <c r="T83" s="123">
        <f>T84+T91</f>
        <v>0</v>
      </c>
      <c r="AR83" s="117" t="s">
        <v>200</v>
      </c>
      <c r="AT83" s="124" t="s">
        <v>76</v>
      </c>
      <c r="AU83" s="124" t="s">
        <v>77</v>
      </c>
      <c r="AY83" s="117" t="s">
        <v>177</v>
      </c>
      <c r="BK83" s="125">
        <f>BK84+BK91</f>
        <v>0</v>
      </c>
    </row>
    <row r="84" spans="2:63" s="11" customFormat="1" ht="22.9" customHeight="1">
      <c r="B84" s="116"/>
      <c r="D84" s="117" t="s">
        <v>76</v>
      </c>
      <c r="E84" s="126" t="s">
        <v>535</v>
      </c>
      <c r="F84" s="126" t="s">
        <v>536</v>
      </c>
      <c r="I84" s="119"/>
      <c r="J84" s="127">
        <f>BK84</f>
        <v>0</v>
      </c>
      <c r="L84" s="116"/>
      <c r="M84" s="121"/>
      <c r="P84" s="122">
        <f>SUM(P85:P90)</f>
        <v>0</v>
      </c>
      <c r="R84" s="122">
        <f>SUM(R85:R90)</f>
        <v>0</v>
      </c>
      <c r="T84" s="123">
        <f>SUM(T85:T90)</f>
        <v>0</v>
      </c>
      <c r="AR84" s="117" t="s">
        <v>200</v>
      </c>
      <c r="AT84" s="124" t="s">
        <v>76</v>
      </c>
      <c r="AU84" s="124" t="s">
        <v>85</v>
      </c>
      <c r="AY84" s="117" t="s">
        <v>177</v>
      </c>
      <c r="BK84" s="125">
        <f>SUM(BK85:BK90)</f>
        <v>0</v>
      </c>
    </row>
    <row r="85" spans="2:65" s="1" customFormat="1" ht="16.5" customHeight="1">
      <c r="B85" s="128"/>
      <c r="C85" s="129" t="s">
        <v>85</v>
      </c>
      <c r="D85" s="129" t="s">
        <v>180</v>
      </c>
      <c r="E85" s="130" t="s">
        <v>4314</v>
      </c>
      <c r="F85" s="131" t="s">
        <v>4315</v>
      </c>
      <c r="G85" s="132" t="s">
        <v>3731</v>
      </c>
      <c r="H85" s="133">
        <v>1</v>
      </c>
      <c r="I85" s="134"/>
      <c r="J85" s="135">
        <f>ROUND(I85*H85,2)</f>
        <v>0</v>
      </c>
      <c r="K85" s="131" t="s">
        <v>184</v>
      </c>
      <c r="L85" s="33"/>
      <c r="M85" s="136" t="s">
        <v>3</v>
      </c>
      <c r="N85" s="137" t="s">
        <v>48</v>
      </c>
      <c r="P85" s="138">
        <f>O85*H85</f>
        <v>0</v>
      </c>
      <c r="Q85" s="138">
        <v>0</v>
      </c>
      <c r="R85" s="138">
        <f>Q85*H85</f>
        <v>0</v>
      </c>
      <c r="S85" s="138">
        <v>0</v>
      </c>
      <c r="T85" s="139">
        <f>S85*H85</f>
        <v>0</v>
      </c>
      <c r="AR85" s="140" t="s">
        <v>540</v>
      </c>
      <c r="AT85" s="140" t="s">
        <v>180</v>
      </c>
      <c r="AU85" s="140" t="s">
        <v>87</v>
      </c>
      <c r="AY85" s="18" t="s">
        <v>177</v>
      </c>
      <c r="BE85" s="141">
        <f>IF(N85="základní",J85,0)</f>
        <v>0</v>
      </c>
      <c r="BF85" s="141">
        <f>IF(N85="snížená",J85,0)</f>
        <v>0</v>
      </c>
      <c r="BG85" s="141">
        <f>IF(N85="zákl. přenesená",J85,0)</f>
        <v>0</v>
      </c>
      <c r="BH85" s="141">
        <f>IF(N85="sníž. přenesená",J85,0)</f>
        <v>0</v>
      </c>
      <c r="BI85" s="141">
        <f>IF(N85="nulová",J85,0)</f>
        <v>0</v>
      </c>
      <c r="BJ85" s="18" t="s">
        <v>85</v>
      </c>
      <c r="BK85" s="141">
        <f>ROUND(I85*H85,2)</f>
        <v>0</v>
      </c>
      <c r="BL85" s="18" t="s">
        <v>540</v>
      </c>
      <c r="BM85" s="140" t="s">
        <v>4316</v>
      </c>
    </row>
    <row r="86" spans="2:47" s="1" customFormat="1" ht="11.25">
      <c r="B86" s="33"/>
      <c r="D86" s="142" t="s">
        <v>187</v>
      </c>
      <c r="F86" s="143" t="s">
        <v>4315</v>
      </c>
      <c r="I86" s="144"/>
      <c r="L86" s="33"/>
      <c r="M86" s="145"/>
      <c r="T86" s="54"/>
      <c r="AT86" s="18" t="s">
        <v>187</v>
      </c>
      <c r="AU86" s="18" t="s">
        <v>87</v>
      </c>
    </row>
    <row r="87" spans="2:47" s="1" customFormat="1" ht="11.25">
      <c r="B87" s="33"/>
      <c r="D87" s="146" t="s">
        <v>189</v>
      </c>
      <c r="F87" s="147" t="s">
        <v>4317</v>
      </c>
      <c r="I87" s="144"/>
      <c r="L87" s="33"/>
      <c r="M87" s="145"/>
      <c r="T87" s="54"/>
      <c r="AT87" s="18" t="s">
        <v>189</v>
      </c>
      <c r="AU87" s="18" t="s">
        <v>87</v>
      </c>
    </row>
    <row r="88" spans="2:65" s="1" customFormat="1" ht="16.5" customHeight="1">
      <c r="B88" s="128"/>
      <c r="C88" s="129" t="s">
        <v>87</v>
      </c>
      <c r="D88" s="129" t="s">
        <v>180</v>
      </c>
      <c r="E88" s="130" t="s">
        <v>4318</v>
      </c>
      <c r="F88" s="131" t="s">
        <v>4319</v>
      </c>
      <c r="G88" s="132" t="s">
        <v>3731</v>
      </c>
      <c r="H88" s="133">
        <v>1</v>
      </c>
      <c r="I88" s="134"/>
      <c r="J88" s="135">
        <f>ROUND(I88*H88,2)</f>
        <v>0</v>
      </c>
      <c r="K88" s="131" t="s">
        <v>184</v>
      </c>
      <c r="L88" s="33"/>
      <c r="M88" s="136" t="s">
        <v>3</v>
      </c>
      <c r="N88" s="137" t="s">
        <v>48</v>
      </c>
      <c r="P88" s="138">
        <f>O88*H88</f>
        <v>0</v>
      </c>
      <c r="Q88" s="138">
        <v>0</v>
      </c>
      <c r="R88" s="138">
        <f>Q88*H88</f>
        <v>0</v>
      </c>
      <c r="S88" s="138">
        <v>0</v>
      </c>
      <c r="T88" s="139">
        <f>S88*H88</f>
        <v>0</v>
      </c>
      <c r="AR88" s="140" t="s">
        <v>540</v>
      </c>
      <c r="AT88" s="140" t="s">
        <v>180</v>
      </c>
      <c r="AU88" s="140" t="s">
        <v>87</v>
      </c>
      <c r="AY88" s="18" t="s">
        <v>177</v>
      </c>
      <c r="BE88" s="141">
        <f>IF(N88="základní",J88,0)</f>
        <v>0</v>
      </c>
      <c r="BF88" s="141">
        <f>IF(N88="snížená",J88,0)</f>
        <v>0</v>
      </c>
      <c r="BG88" s="141">
        <f>IF(N88="zákl. přenesená",J88,0)</f>
        <v>0</v>
      </c>
      <c r="BH88" s="141">
        <f>IF(N88="sníž. přenesená",J88,0)</f>
        <v>0</v>
      </c>
      <c r="BI88" s="141">
        <f>IF(N88="nulová",J88,0)</f>
        <v>0</v>
      </c>
      <c r="BJ88" s="18" t="s">
        <v>85</v>
      </c>
      <c r="BK88" s="141">
        <f>ROUND(I88*H88,2)</f>
        <v>0</v>
      </c>
      <c r="BL88" s="18" t="s">
        <v>540</v>
      </c>
      <c r="BM88" s="140" t="s">
        <v>4320</v>
      </c>
    </row>
    <row r="89" spans="2:47" s="1" customFormat="1" ht="11.25">
      <c r="B89" s="33"/>
      <c r="D89" s="142" t="s">
        <v>187</v>
      </c>
      <c r="F89" s="143" t="s">
        <v>4319</v>
      </c>
      <c r="I89" s="144"/>
      <c r="L89" s="33"/>
      <c r="M89" s="145"/>
      <c r="T89" s="54"/>
      <c r="AT89" s="18" t="s">
        <v>187</v>
      </c>
      <c r="AU89" s="18" t="s">
        <v>87</v>
      </c>
    </row>
    <row r="90" spans="2:47" s="1" customFormat="1" ht="11.25">
      <c r="B90" s="33"/>
      <c r="D90" s="146" t="s">
        <v>189</v>
      </c>
      <c r="F90" s="147" t="s">
        <v>4321</v>
      </c>
      <c r="I90" s="144"/>
      <c r="L90" s="33"/>
      <c r="M90" s="145"/>
      <c r="T90" s="54"/>
      <c r="AT90" s="18" t="s">
        <v>189</v>
      </c>
      <c r="AU90" s="18" t="s">
        <v>87</v>
      </c>
    </row>
    <row r="91" spans="2:63" s="11" customFormat="1" ht="22.9" customHeight="1">
      <c r="B91" s="116"/>
      <c r="D91" s="117" t="s">
        <v>76</v>
      </c>
      <c r="E91" s="126" t="s">
        <v>898</v>
      </c>
      <c r="F91" s="126" t="s">
        <v>899</v>
      </c>
      <c r="I91" s="119"/>
      <c r="J91" s="127">
        <f>BK91</f>
        <v>0</v>
      </c>
      <c r="L91" s="116"/>
      <c r="M91" s="121"/>
      <c r="P91" s="122">
        <f>SUM(P92:P103)</f>
        <v>0</v>
      </c>
      <c r="R91" s="122">
        <f>SUM(R92:R103)</f>
        <v>0</v>
      </c>
      <c r="T91" s="123">
        <f>SUM(T92:T103)</f>
        <v>0</v>
      </c>
      <c r="AR91" s="117" t="s">
        <v>200</v>
      </c>
      <c r="AT91" s="124" t="s">
        <v>76</v>
      </c>
      <c r="AU91" s="124" t="s">
        <v>85</v>
      </c>
      <c r="AY91" s="117" t="s">
        <v>177</v>
      </c>
      <c r="BK91" s="125">
        <f>SUM(BK92:BK103)</f>
        <v>0</v>
      </c>
    </row>
    <row r="92" spans="2:65" s="1" customFormat="1" ht="16.5" customHeight="1">
      <c r="B92" s="128"/>
      <c r="C92" s="129" t="s">
        <v>198</v>
      </c>
      <c r="D92" s="129" t="s">
        <v>180</v>
      </c>
      <c r="E92" s="130" t="s">
        <v>4322</v>
      </c>
      <c r="F92" s="131" t="s">
        <v>899</v>
      </c>
      <c r="G92" s="132" t="s">
        <v>3731</v>
      </c>
      <c r="H92" s="133">
        <v>1</v>
      </c>
      <c r="I92" s="134"/>
      <c r="J92" s="135">
        <f>ROUND(I92*H92,2)</f>
        <v>0</v>
      </c>
      <c r="K92" s="131" t="s">
        <v>184</v>
      </c>
      <c r="L92" s="33"/>
      <c r="M92" s="136" t="s">
        <v>3</v>
      </c>
      <c r="N92" s="137" t="s">
        <v>48</v>
      </c>
      <c r="P92" s="138">
        <f>O92*H92</f>
        <v>0</v>
      </c>
      <c r="Q92" s="138">
        <v>0</v>
      </c>
      <c r="R92" s="138">
        <f>Q92*H92</f>
        <v>0</v>
      </c>
      <c r="S92" s="138">
        <v>0</v>
      </c>
      <c r="T92" s="139">
        <f>S92*H92</f>
        <v>0</v>
      </c>
      <c r="AR92" s="140" t="s">
        <v>540</v>
      </c>
      <c r="AT92" s="140" t="s">
        <v>180</v>
      </c>
      <c r="AU92" s="140" t="s">
        <v>87</v>
      </c>
      <c r="AY92" s="18" t="s">
        <v>177</v>
      </c>
      <c r="BE92" s="141">
        <f>IF(N92="základní",J92,0)</f>
        <v>0</v>
      </c>
      <c r="BF92" s="141">
        <f>IF(N92="snížená",J92,0)</f>
        <v>0</v>
      </c>
      <c r="BG92" s="141">
        <f>IF(N92="zákl. přenesená",J92,0)</f>
        <v>0</v>
      </c>
      <c r="BH92" s="141">
        <f>IF(N92="sníž. přenesená",J92,0)</f>
        <v>0</v>
      </c>
      <c r="BI92" s="141">
        <f>IF(N92="nulová",J92,0)</f>
        <v>0</v>
      </c>
      <c r="BJ92" s="18" t="s">
        <v>85</v>
      </c>
      <c r="BK92" s="141">
        <f>ROUND(I92*H92,2)</f>
        <v>0</v>
      </c>
      <c r="BL92" s="18" t="s">
        <v>540</v>
      </c>
      <c r="BM92" s="140" t="s">
        <v>4323</v>
      </c>
    </row>
    <row r="93" spans="2:47" s="1" customFormat="1" ht="11.25">
      <c r="B93" s="33"/>
      <c r="D93" s="142" t="s">
        <v>187</v>
      </c>
      <c r="F93" s="143" t="s">
        <v>899</v>
      </c>
      <c r="I93" s="144"/>
      <c r="L93" s="33"/>
      <c r="M93" s="145"/>
      <c r="T93" s="54"/>
      <c r="AT93" s="18" t="s">
        <v>187</v>
      </c>
      <c r="AU93" s="18" t="s">
        <v>87</v>
      </c>
    </row>
    <row r="94" spans="2:47" s="1" customFormat="1" ht="11.25">
      <c r="B94" s="33"/>
      <c r="D94" s="146" t="s">
        <v>189</v>
      </c>
      <c r="F94" s="147" t="s">
        <v>4324</v>
      </c>
      <c r="I94" s="144"/>
      <c r="L94" s="33"/>
      <c r="M94" s="145"/>
      <c r="T94" s="54"/>
      <c r="AT94" s="18" t="s">
        <v>189</v>
      </c>
      <c r="AU94" s="18" t="s">
        <v>87</v>
      </c>
    </row>
    <row r="95" spans="2:65" s="1" customFormat="1" ht="16.5" customHeight="1">
      <c r="B95" s="128"/>
      <c r="C95" s="129" t="s">
        <v>185</v>
      </c>
      <c r="D95" s="129" t="s">
        <v>180</v>
      </c>
      <c r="E95" s="130" t="s">
        <v>4325</v>
      </c>
      <c r="F95" s="131" t="s">
        <v>4326</v>
      </c>
      <c r="G95" s="132" t="s">
        <v>3731</v>
      </c>
      <c r="H95" s="133">
        <v>1</v>
      </c>
      <c r="I95" s="134"/>
      <c r="J95" s="135">
        <f>ROUND(I95*H95,2)</f>
        <v>0</v>
      </c>
      <c r="K95" s="131" t="s">
        <v>184</v>
      </c>
      <c r="L95" s="33"/>
      <c r="M95" s="136" t="s">
        <v>3</v>
      </c>
      <c r="N95" s="137" t="s">
        <v>48</v>
      </c>
      <c r="P95" s="138">
        <f>O95*H95</f>
        <v>0</v>
      </c>
      <c r="Q95" s="138">
        <v>0</v>
      </c>
      <c r="R95" s="138">
        <f>Q95*H95</f>
        <v>0</v>
      </c>
      <c r="S95" s="138">
        <v>0</v>
      </c>
      <c r="T95" s="139">
        <f>S95*H95</f>
        <v>0</v>
      </c>
      <c r="AR95" s="140" t="s">
        <v>540</v>
      </c>
      <c r="AT95" s="140" t="s">
        <v>180</v>
      </c>
      <c r="AU95" s="140" t="s">
        <v>87</v>
      </c>
      <c r="AY95" s="18" t="s">
        <v>177</v>
      </c>
      <c r="BE95" s="141">
        <f>IF(N95="základní",J95,0)</f>
        <v>0</v>
      </c>
      <c r="BF95" s="141">
        <f>IF(N95="snížená",J95,0)</f>
        <v>0</v>
      </c>
      <c r="BG95" s="141">
        <f>IF(N95="zákl. přenesená",J95,0)</f>
        <v>0</v>
      </c>
      <c r="BH95" s="141">
        <f>IF(N95="sníž. přenesená",J95,0)</f>
        <v>0</v>
      </c>
      <c r="BI95" s="141">
        <f>IF(N95="nulová",J95,0)</f>
        <v>0</v>
      </c>
      <c r="BJ95" s="18" t="s">
        <v>85</v>
      </c>
      <c r="BK95" s="141">
        <f>ROUND(I95*H95,2)</f>
        <v>0</v>
      </c>
      <c r="BL95" s="18" t="s">
        <v>540</v>
      </c>
      <c r="BM95" s="140" t="s">
        <v>4327</v>
      </c>
    </row>
    <row r="96" spans="2:47" s="1" customFormat="1" ht="11.25">
      <c r="B96" s="33"/>
      <c r="D96" s="142" t="s">
        <v>187</v>
      </c>
      <c r="F96" s="143" t="s">
        <v>4326</v>
      </c>
      <c r="I96" s="144"/>
      <c r="L96" s="33"/>
      <c r="M96" s="145"/>
      <c r="T96" s="54"/>
      <c r="AT96" s="18" t="s">
        <v>187</v>
      </c>
      <c r="AU96" s="18" t="s">
        <v>87</v>
      </c>
    </row>
    <row r="97" spans="2:47" s="1" customFormat="1" ht="11.25">
      <c r="B97" s="33"/>
      <c r="D97" s="146" t="s">
        <v>189</v>
      </c>
      <c r="F97" s="147" t="s">
        <v>4328</v>
      </c>
      <c r="I97" s="144"/>
      <c r="L97" s="33"/>
      <c r="M97" s="145"/>
      <c r="T97" s="54"/>
      <c r="AT97" s="18" t="s">
        <v>189</v>
      </c>
      <c r="AU97" s="18" t="s">
        <v>87</v>
      </c>
    </row>
    <row r="98" spans="2:65" s="1" customFormat="1" ht="16.5" customHeight="1">
      <c r="B98" s="128"/>
      <c r="C98" s="129" t="s">
        <v>200</v>
      </c>
      <c r="D98" s="129" t="s">
        <v>180</v>
      </c>
      <c r="E98" s="130" t="s">
        <v>4329</v>
      </c>
      <c r="F98" s="131" t="s">
        <v>4330</v>
      </c>
      <c r="G98" s="132" t="s">
        <v>3731</v>
      </c>
      <c r="H98" s="133">
        <v>1</v>
      </c>
      <c r="I98" s="134"/>
      <c r="J98" s="135">
        <f>ROUND(I98*H98,2)</f>
        <v>0</v>
      </c>
      <c r="K98" s="131" t="s">
        <v>184</v>
      </c>
      <c r="L98" s="33"/>
      <c r="M98" s="136" t="s">
        <v>3</v>
      </c>
      <c r="N98" s="137" t="s">
        <v>48</v>
      </c>
      <c r="P98" s="138">
        <f>O98*H98</f>
        <v>0</v>
      </c>
      <c r="Q98" s="138">
        <v>0</v>
      </c>
      <c r="R98" s="138">
        <f>Q98*H98</f>
        <v>0</v>
      </c>
      <c r="S98" s="138">
        <v>0</v>
      </c>
      <c r="T98" s="139">
        <f>S98*H98</f>
        <v>0</v>
      </c>
      <c r="AR98" s="140" t="s">
        <v>540</v>
      </c>
      <c r="AT98" s="140" t="s">
        <v>180</v>
      </c>
      <c r="AU98" s="140" t="s">
        <v>87</v>
      </c>
      <c r="AY98" s="18" t="s">
        <v>177</v>
      </c>
      <c r="BE98" s="141">
        <f>IF(N98="základní",J98,0)</f>
        <v>0</v>
      </c>
      <c r="BF98" s="141">
        <f>IF(N98="snížená",J98,0)</f>
        <v>0</v>
      </c>
      <c r="BG98" s="141">
        <f>IF(N98="zákl. přenesená",J98,0)</f>
        <v>0</v>
      </c>
      <c r="BH98" s="141">
        <f>IF(N98="sníž. přenesená",J98,0)</f>
        <v>0</v>
      </c>
      <c r="BI98" s="141">
        <f>IF(N98="nulová",J98,0)</f>
        <v>0</v>
      </c>
      <c r="BJ98" s="18" t="s">
        <v>85</v>
      </c>
      <c r="BK98" s="141">
        <f>ROUND(I98*H98,2)</f>
        <v>0</v>
      </c>
      <c r="BL98" s="18" t="s">
        <v>540</v>
      </c>
      <c r="BM98" s="140" t="s">
        <v>4331</v>
      </c>
    </row>
    <row r="99" spans="2:47" s="1" customFormat="1" ht="11.25">
      <c r="B99" s="33"/>
      <c r="D99" s="142" t="s">
        <v>187</v>
      </c>
      <c r="F99" s="143" t="s">
        <v>4330</v>
      </c>
      <c r="I99" s="144"/>
      <c r="L99" s="33"/>
      <c r="M99" s="145"/>
      <c r="T99" s="54"/>
      <c r="AT99" s="18" t="s">
        <v>187</v>
      </c>
      <c r="AU99" s="18" t="s">
        <v>87</v>
      </c>
    </row>
    <row r="100" spans="2:47" s="1" customFormat="1" ht="11.25">
      <c r="B100" s="33"/>
      <c r="D100" s="146" t="s">
        <v>189</v>
      </c>
      <c r="F100" s="147" t="s">
        <v>4332</v>
      </c>
      <c r="I100" s="144"/>
      <c r="L100" s="33"/>
      <c r="M100" s="145"/>
      <c r="T100" s="54"/>
      <c r="AT100" s="18" t="s">
        <v>189</v>
      </c>
      <c r="AU100" s="18" t="s">
        <v>87</v>
      </c>
    </row>
    <row r="101" spans="2:65" s="1" customFormat="1" ht="16.5" customHeight="1">
      <c r="B101" s="128"/>
      <c r="C101" s="129" t="s">
        <v>233</v>
      </c>
      <c r="D101" s="129" t="s">
        <v>180</v>
      </c>
      <c r="E101" s="130" t="s">
        <v>4333</v>
      </c>
      <c r="F101" s="131" t="s">
        <v>4334</v>
      </c>
      <c r="G101" s="132" t="s">
        <v>3731</v>
      </c>
      <c r="H101" s="133">
        <v>2</v>
      </c>
      <c r="I101" s="134"/>
      <c r="J101" s="135">
        <f>ROUND(I101*H101,2)</f>
        <v>0</v>
      </c>
      <c r="K101" s="131" t="s">
        <v>184</v>
      </c>
      <c r="L101" s="33"/>
      <c r="M101" s="136" t="s">
        <v>3</v>
      </c>
      <c r="N101" s="137" t="s">
        <v>48</v>
      </c>
      <c r="P101" s="138">
        <f>O101*H101</f>
        <v>0</v>
      </c>
      <c r="Q101" s="138">
        <v>0</v>
      </c>
      <c r="R101" s="138">
        <f>Q101*H101</f>
        <v>0</v>
      </c>
      <c r="S101" s="138">
        <v>0</v>
      </c>
      <c r="T101" s="139">
        <f>S101*H101</f>
        <v>0</v>
      </c>
      <c r="AR101" s="140" t="s">
        <v>540</v>
      </c>
      <c r="AT101" s="140" t="s">
        <v>180</v>
      </c>
      <c r="AU101" s="140" t="s">
        <v>87</v>
      </c>
      <c r="AY101" s="18" t="s">
        <v>177</v>
      </c>
      <c r="BE101" s="141">
        <f>IF(N101="základní",J101,0)</f>
        <v>0</v>
      </c>
      <c r="BF101" s="141">
        <f>IF(N101="snížená",J101,0)</f>
        <v>0</v>
      </c>
      <c r="BG101" s="141">
        <f>IF(N101="zákl. přenesená",J101,0)</f>
        <v>0</v>
      </c>
      <c r="BH101" s="141">
        <f>IF(N101="sníž. přenesená",J101,0)</f>
        <v>0</v>
      </c>
      <c r="BI101" s="141">
        <f>IF(N101="nulová",J101,0)</f>
        <v>0</v>
      </c>
      <c r="BJ101" s="18" t="s">
        <v>85</v>
      </c>
      <c r="BK101" s="141">
        <f>ROUND(I101*H101,2)</f>
        <v>0</v>
      </c>
      <c r="BL101" s="18" t="s">
        <v>540</v>
      </c>
      <c r="BM101" s="140" t="s">
        <v>4335</v>
      </c>
    </row>
    <row r="102" spans="2:47" s="1" customFormat="1" ht="11.25">
      <c r="B102" s="33"/>
      <c r="D102" s="142" t="s">
        <v>187</v>
      </c>
      <c r="F102" s="143" t="s">
        <v>4334</v>
      </c>
      <c r="I102" s="144"/>
      <c r="L102" s="33"/>
      <c r="M102" s="145"/>
      <c r="T102" s="54"/>
      <c r="AT102" s="18" t="s">
        <v>187</v>
      </c>
      <c r="AU102" s="18" t="s">
        <v>87</v>
      </c>
    </row>
    <row r="103" spans="2:47" s="1" customFormat="1" ht="11.25">
      <c r="B103" s="33"/>
      <c r="D103" s="146" t="s">
        <v>189</v>
      </c>
      <c r="F103" s="147" t="s">
        <v>4336</v>
      </c>
      <c r="I103" s="144"/>
      <c r="L103" s="33"/>
      <c r="M103" s="189"/>
      <c r="N103" s="190"/>
      <c r="O103" s="190"/>
      <c r="P103" s="190"/>
      <c r="Q103" s="190"/>
      <c r="R103" s="190"/>
      <c r="S103" s="190"/>
      <c r="T103" s="191"/>
      <c r="AT103" s="18" t="s">
        <v>189</v>
      </c>
      <c r="AU103" s="18" t="s">
        <v>87</v>
      </c>
    </row>
    <row r="104" spans="2:12" s="1" customFormat="1" ht="6.95" customHeight="1">
      <c r="B104" s="42"/>
      <c r="C104" s="43"/>
      <c r="D104" s="43"/>
      <c r="E104" s="43"/>
      <c r="F104" s="43"/>
      <c r="G104" s="43"/>
      <c r="H104" s="43"/>
      <c r="I104" s="43"/>
      <c r="J104" s="43"/>
      <c r="K104" s="43"/>
      <c r="L104" s="33"/>
    </row>
  </sheetData>
  <autoFilter ref="C81:K103"/>
  <mergeCells count="9">
    <mergeCell ref="E50:H50"/>
    <mergeCell ref="E72:H72"/>
    <mergeCell ref="E74:H74"/>
    <mergeCell ref="L2:V2"/>
    <mergeCell ref="E7:H7"/>
    <mergeCell ref="E9:H9"/>
    <mergeCell ref="E18:H18"/>
    <mergeCell ref="E27:H27"/>
    <mergeCell ref="E48:H48"/>
  </mergeCells>
  <hyperlinks>
    <hyperlink ref="F87" r:id="rId1" display="https://podminky.urs.cz/item/CS_URS_2022_02/012303000"/>
    <hyperlink ref="F90" r:id="rId2" display="https://podminky.urs.cz/item/CS_URS_2022_02/013254000"/>
    <hyperlink ref="F94" r:id="rId3" display="https://podminky.urs.cz/item/CS_URS_2022_02/030001000"/>
    <hyperlink ref="F97" r:id="rId4" display="https://podminky.urs.cz/item/CS_URS_2022_02/033002000"/>
    <hyperlink ref="F100" r:id="rId5" display="https://podminky.urs.cz/item/CS_URS_2022_02/033203000"/>
    <hyperlink ref="F103" r:id="rId6" display="https://podminky.urs.cz/item/CS_URS_2022_02/0345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K219"/>
  <sheetViews>
    <sheetView showGridLines="0" zoomScale="110" zoomScaleNormal="110" workbookViewId="0" topLeftCell="A58"/>
  </sheetViews>
  <sheetFormatPr defaultColWidth="9.140625" defaultRowHeight="12"/>
  <cols>
    <col min="1" max="1" width="8.28125" style="192" customWidth="1"/>
    <col min="2" max="2" width="1.7109375" style="192" customWidth="1"/>
    <col min="3" max="4" width="5.00390625" style="192" customWidth="1"/>
    <col min="5" max="5" width="11.7109375" style="192" customWidth="1"/>
    <col min="6" max="6" width="9.140625" style="192" customWidth="1"/>
    <col min="7" max="7" width="5.00390625" style="192" customWidth="1"/>
    <col min="8" max="8" width="77.8515625" style="192" customWidth="1"/>
    <col min="9" max="10" width="20.00390625" style="192" customWidth="1"/>
    <col min="11" max="11" width="1.7109375" style="192" customWidth="1"/>
  </cols>
  <sheetData>
    <row r="1" ht="37.5" customHeight="1"/>
    <row r="2" spans="2:11" ht="7.5" customHeight="1">
      <c r="B2" s="193"/>
      <c r="C2" s="194"/>
      <c r="D2" s="194"/>
      <c r="E2" s="194"/>
      <c r="F2" s="194"/>
      <c r="G2" s="194"/>
      <c r="H2" s="194"/>
      <c r="I2" s="194"/>
      <c r="J2" s="194"/>
      <c r="K2" s="195"/>
    </row>
    <row r="3" spans="2:11" s="16" customFormat="1" ht="45" customHeight="1">
      <c r="B3" s="196"/>
      <c r="C3" s="321" t="s">
        <v>4337</v>
      </c>
      <c r="D3" s="321"/>
      <c r="E3" s="321"/>
      <c r="F3" s="321"/>
      <c r="G3" s="321"/>
      <c r="H3" s="321"/>
      <c r="I3" s="321"/>
      <c r="J3" s="321"/>
      <c r="K3" s="197"/>
    </row>
    <row r="4" spans="2:11" ht="25.5" customHeight="1">
      <c r="B4" s="198"/>
      <c r="C4" s="320" t="s">
        <v>4338</v>
      </c>
      <c r="D4" s="320"/>
      <c r="E4" s="320"/>
      <c r="F4" s="320"/>
      <c r="G4" s="320"/>
      <c r="H4" s="320"/>
      <c r="I4" s="320"/>
      <c r="J4" s="320"/>
      <c r="K4" s="199"/>
    </row>
    <row r="5" spans="2:11" ht="5.25" customHeight="1">
      <c r="B5" s="198"/>
      <c r="C5" s="200"/>
      <c r="D5" s="200"/>
      <c r="E5" s="200"/>
      <c r="F5" s="200"/>
      <c r="G5" s="200"/>
      <c r="H5" s="200"/>
      <c r="I5" s="200"/>
      <c r="J5" s="200"/>
      <c r="K5" s="199"/>
    </row>
    <row r="6" spans="2:11" ht="15" customHeight="1">
      <c r="B6" s="198"/>
      <c r="C6" s="319" t="s">
        <v>4339</v>
      </c>
      <c r="D6" s="319"/>
      <c r="E6" s="319"/>
      <c r="F6" s="319"/>
      <c r="G6" s="319"/>
      <c r="H6" s="319"/>
      <c r="I6" s="319"/>
      <c r="J6" s="319"/>
      <c r="K6" s="199"/>
    </row>
    <row r="7" spans="2:11" ht="15" customHeight="1">
      <c r="B7" s="202"/>
      <c r="C7" s="319" t="s">
        <v>4340</v>
      </c>
      <c r="D7" s="319"/>
      <c r="E7" s="319"/>
      <c r="F7" s="319"/>
      <c r="G7" s="319"/>
      <c r="H7" s="319"/>
      <c r="I7" s="319"/>
      <c r="J7" s="319"/>
      <c r="K7" s="199"/>
    </row>
    <row r="8" spans="2:11" ht="12.75" customHeight="1">
      <c r="B8" s="202"/>
      <c r="C8" s="201"/>
      <c r="D8" s="201"/>
      <c r="E8" s="201"/>
      <c r="F8" s="201"/>
      <c r="G8" s="201"/>
      <c r="H8" s="201"/>
      <c r="I8" s="201"/>
      <c r="J8" s="201"/>
      <c r="K8" s="199"/>
    </row>
    <row r="9" spans="2:11" ht="15" customHeight="1">
      <c r="B9" s="202"/>
      <c r="C9" s="319" t="s">
        <v>4341</v>
      </c>
      <c r="D9" s="319"/>
      <c r="E9" s="319"/>
      <c r="F9" s="319"/>
      <c r="G9" s="319"/>
      <c r="H9" s="319"/>
      <c r="I9" s="319"/>
      <c r="J9" s="319"/>
      <c r="K9" s="199"/>
    </row>
    <row r="10" spans="2:11" ht="15" customHeight="1">
      <c r="B10" s="202"/>
      <c r="C10" s="201"/>
      <c r="D10" s="319" t="s">
        <v>4342</v>
      </c>
      <c r="E10" s="319"/>
      <c r="F10" s="319"/>
      <c r="G10" s="319"/>
      <c r="H10" s="319"/>
      <c r="I10" s="319"/>
      <c r="J10" s="319"/>
      <c r="K10" s="199"/>
    </row>
    <row r="11" spans="2:11" ht="15" customHeight="1">
      <c r="B11" s="202"/>
      <c r="C11" s="203"/>
      <c r="D11" s="319" t="s">
        <v>4343</v>
      </c>
      <c r="E11" s="319"/>
      <c r="F11" s="319"/>
      <c r="G11" s="319"/>
      <c r="H11" s="319"/>
      <c r="I11" s="319"/>
      <c r="J11" s="319"/>
      <c r="K11" s="199"/>
    </row>
    <row r="12" spans="2:11" ht="15" customHeight="1">
      <c r="B12" s="202"/>
      <c r="C12" s="203"/>
      <c r="D12" s="201"/>
      <c r="E12" s="201"/>
      <c r="F12" s="201"/>
      <c r="G12" s="201"/>
      <c r="H12" s="201"/>
      <c r="I12" s="201"/>
      <c r="J12" s="201"/>
      <c r="K12" s="199"/>
    </row>
    <row r="13" spans="2:11" ht="15" customHeight="1">
      <c r="B13" s="202"/>
      <c r="C13" s="203"/>
      <c r="D13" s="204" t="s">
        <v>4344</v>
      </c>
      <c r="E13" s="201"/>
      <c r="F13" s="201"/>
      <c r="G13" s="201"/>
      <c r="H13" s="201"/>
      <c r="I13" s="201"/>
      <c r="J13" s="201"/>
      <c r="K13" s="199"/>
    </row>
    <row r="14" spans="2:11" ht="12.75" customHeight="1">
      <c r="B14" s="202"/>
      <c r="C14" s="203"/>
      <c r="D14" s="203"/>
      <c r="E14" s="203"/>
      <c r="F14" s="203"/>
      <c r="G14" s="203"/>
      <c r="H14" s="203"/>
      <c r="I14" s="203"/>
      <c r="J14" s="203"/>
      <c r="K14" s="199"/>
    </row>
    <row r="15" spans="2:11" ht="15" customHeight="1">
      <c r="B15" s="202"/>
      <c r="C15" s="203"/>
      <c r="D15" s="319" t="s">
        <v>4345</v>
      </c>
      <c r="E15" s="319"/>
      <c r="F15" s="319"/>
      <c r="G15" s="319"/>
      <c r="H15" s="319"/>
      <c r="I15" s="319"/>
      <c r="J15" s="319"/>
      <c r="K15" s="199"/>
    </row>
    <row r="16" spans="2:11" ht="15" customHeight="1">
      <c r="B16" s="202"/>
      <c r="C16" s="203"/>
      <c r="D16" s="319" t="s">
        <v>4346</v>
      </c>
      <c r="E16" s="319"/>
      <c r="F16" s="319"/>
      <c r="G16" s="319"/>
      <c r="H16" s="319"/>
      <c r="I16" s="319"/>
      <c r="J16" s="319"/>
      <c r="K16" s="199"/>
    </row>
    <row r="17" spans="2:11" ht="15" customHeight="1">
      <c r="B17" s="202"/>
      <c r="C17" s="203"/>
      <c r="D17" s="319" t="s">
        <v>4347</v>
      </c>
      <c r="E17" s="319"/>
      <c r="F17" s="319"/>
      <c r="G17" s="319"/>
      <c r="H17" s="319"/>
      <c r="I17" s="319"/>
      <c r="J17" s="319"/>
      <c r="K17" s="199"/>
    </row>
    <row r="18" spans="2:11" ht="15" customHeight="1">
      <c r="B18" s="202"/>
      <c r="C18" s="203"/>
      <c r="D18" s="203"/>
      <c r="E18" s="205" t="s">
        <v>84</v>
      </c>
      <c r="F18" s="319" t="s">
        <v>4348</v>
      </c>
      <c r="G18" s="319"/>
      <c r="H18" s="319"/>
      <c r="I18" s="319"/>
      <c r="J18" s="319"/>
      <c r="K18" s="199"/>
    </row>
    <row r="19" spans="2:11" ht="15" customHeight="1">
      <c r="B19" s="202"/>
      <c r="C19" s="203"/>
      <c r="D19" s="203"/>
      <c r="E19" s="205" t="s">
        <v>4349</v>
      </c>
      <c r="F19" s="319" t="s">
        <v>4350</v>
      </c>
      <c r="G19" s="319"/>
      <c r="H19" s="319"/>
      <c r="I19" s="319"/>
      <c r="J19" s="319"/>
      <c r="K19" s="199"/>
    </row>
    <row r="20" spans="2:11" ht="15" customHeight="1">
      <c r="B20" s="202"/>
      <c r="C20" s="203"/>
      <c r="D20" s="203"/>
      <c r="E20" s="205" t="s">
        <v>4351</v>
      </c>
      <c r="F20" s="319" t="s">
        <v>4352</v>
      </c>
      <c r="G20" s="319"/>
      <c r="H20" s="319"/>
      <c r="I20" s="319"/>
      <c r="J20" s="319"/>
      <c r="K20" s="199"/>
    </row>
    <row r="21" spans="2:11" ht="15" customHeight="1">
      <c r="B21" s="202"/>
      <c r="C21" s="203"/>
      <c r="D21" s="203"/>
      <c r="E21" s="205" t="s">
        <v>142</v>
      </c>
      <c r="F21" s="319" t="s">
        <v>4353</v>
      </c>
      <c r="G21" s="319"/>
      <c r="H21" s="319"/>
      <c r="I21" s="319"/>
      <c r="J21" s="319"/>
      <c r="K21" s="199"/>
    </row>
    <row r="22" spans="2:11" ht="15" customHeight="1">
      <c r="B22" s="202"/>
      <c r="C22" s="203"/>
      <c r="D22" s="203"/>
      <c r="E22" s="205" t="s">
        <v>4354</v>
      </c>
      <c r="F22" s="319" t="s">
        <v>4355</v>
      </c>
      <c r="G22" s="319"/>
      <c r="H22" s="319"/>
      <c r="I22" s="319"/>
      <c r="J22" s="319"/>
      <c r="K22" s="199"/>
    </row>
    <row r="23" spans="2:11" ht="15" customHeight="1">
      <c r="B23" s="202"/>
      <c r="C23" s="203"/>
      <c r="D23" s="203"/>
      <c r="E23" s="205" t="s">
        <v>4356</v>
      </c>
      <c r="F23" s="319" t="s">
        <v>4357</v>
      </c>
      <c r="G23" s="319"/>
      <c r="H23" s="319"/>
      <c r="I23" s="319"/>
      <c r="J23" s="319"/>
      <c r="K23" s="199"/>
    </row>
    <row r="24" spans="2:11" ht="12.75" customHeight="1">
      <c r="B24" s="202"/>
      <c r="C24" s="203"/>
      <c r="D24" s="203"/>
      <c r="E24" s="203"/>
      <c r="F24" s="203"/>
      <c r="G24" s="203"/>
      <c r="H24" s="203"/>
      <c r="I24" s="203"/>
      <c r="J24" s="203"/>
      <c r="K24" s="199"/>
    </row>
    <row r="25" spans="2:11" ht="15" customHeight="1">
      <c r="B25" s="202"/>
      <c r="C25" s="319" t="s">
        <v>4358</v>
      </c>
      <c r="D25" s="319"/>
      <c r="E25" s="319"/>
      <c r="F25" s="319"/>
      <c r="G25" s="319"/>
      <c r="H25" s="319"/>
      <c r="I25" s="319"/>
      <c r="J25" s="319"/>
      <c r="K25" s="199"/>
    </row>
    <row r="26" spans="2:11" ht="15" customHeight="1">
      <c r="B26" s="202"/>
      <c r="C26" s="319" t="s">
        <v>4359</v>
      </c>
      <c r="D26" s="319"/>
      <c r="E26" s="319"/>
      <c r="F26" s="319"/>
      <c r="G26" s="319"/>
      <c r="H26" s="319"/>
      <c r="I26" s="319"/>
      <c r="J26" s="319"/>
      <c r="K26" s="199"/>
    </row>
    <row r="27" spans="2:11" ht="15" customHeight="1">
      <c r="B27" s="202"/>
      <c r="C27" s="201"/>
      <c r="D27" s="319" t="s">
        <v>4360</v>
      </c>
      <c r="E27" s="319"/>
      <c r="F27" s="319"/>
      <c r="G27" s="319"/>
      <c r="H27" s="319"/>
      <c r="I27" s="319"/>
      <c r="J27" s="319"/>
      <c r="K27" s="199"/>
    </row>
    <row r="28" spans="2:11" ht="15" customHeight="1">
      <c r="B28" s="202"/>
      <c r="C28" s="203"/>
      <c r="D28" s="319" t="s">
        <v>4361</v>
      </c>
      <c r="E28" s="319"/>
      <c r="F28" s="319"/>
      <c r="G28" s="319"/>
      <c r="H28" s="319"/>
      <c r="I28" s="319"/>
      <c r="J28" s="319"/>
      <c r="K28" s="199"/>
    </row>
    <row r="29" spans="2:11" ht="12.75" customHeight="1">
      <c r="B29" s="202"/>
      <c r="C29" s="203"/>
      <c r="D29" s="203"/>
      <c r="E29" s="203"/>
      <c r="F29" s="203"/>
      <c r="G29" s="203"/>
      <c r="H29" s="203"/>
      <c r="I29" s="203"/>
      <c r="J29" s="203"/>
      <c r="K29" s="199"/>
    </row>
    <row r="30" spans="2:11" ht="15" customHeight="1">
      <c r="B30" s="202"/>
      <c r="C30" s="203"/>
      <c r="D30" s="319" t="s">
        <v>4362</v>
      </c>
      <c r="E30" s="319"/>
      <c r="F30" s="319"/>
      <c r="G30" s="319"/>
      <c r="H30" s="319"/>
      <c r="I30" s="319"/>
      <c r="J30" s="319"/>
      <c r="K30" s="199"/>
    </row>
    <row r="31" spans="2:11" ht="15" customHeight="1">
      <c r="B31" s="202"/>
      <c r="C31" s="203"/>
      <c r="D31" s="319" t="s">
        <v>4363</v>
      </c>
      <c r="E31" s="319"/>
      <c r="F31" s="319"/>
      <c r="G31" s="319"/>
      <c r="H31" s="319"/>
      <c r="I31" s="319"/>
      <c r="J31" s="319"/>
      <c r="K31" s="199"/>
    </row>
    <row r="32" spans="2:11" ht="12.75" customHeight="1">
      <c r="B32" s="202"/>
      <c r="C32" s="203"/>
      <c r="D32" s="203"/>
      <c r="E32" s="203"/>
      <c r="F32" s="203"/>
      <c r="G32" s="203"/>
      <c r="H32" s="203"/>
      <c r="I32" s="203"/>
      <c r="J32" s="203"/>
      <c r="K32" s="199"/>
    </row>
    <row r="33" spans="2:11" ht="15" customHeight="1">
      <c r="B33" s="202"/>
      <c r="C33" s="203"/>
      <c r="D33" s="319" t="s">
        <v>4364</v>
      </c>
      <c r="E33" s="319"/>
      <c r="F33" s="319"/>
      <c r="G33" s="319"/>
      <c r="H33" s="319"/>
      <c r="I33" s="319"/>
      <c r="J33" s="319"/>
      <c r="K33" s="199"/>
    </row>
    <row r="34" spans="2:11" ht="15" customHeight="1">
      <c r="B34" s="202"/>
      <c r="C34" s="203"/>
      <c r="D34" s="319" t="s">
        <v>4365</v>
      </c>
      <c r="E34" s="319"/>
      <c r="F34" s="319"/>
      <c r="G34" s="319"/>
      <c r="H34" s="319"/>
      <c r="I34" s="319"/>
      <c r="J34" s="319"/>
      <c r="K34" s="199"/>
    </row>
    <row r="35" spans="2:11" ht="15" customHeight="1">
      <c r="B35" s="202"/>
      <c r="C35" s="203"/>
      <c r="D35" s="319" t="s">
        <v>4366</v>
      </c>
      <c r="E35" s="319"/>
      <c r="F35" s="319"/>
      <c r="G35" s="319"/>
      <c r="H35" s="319"/>
      <c r="I35" s="319"/>
      <c r="J35" s="319"/>
      <c r="K35" s="199"/>
    </row>
    <row r="36" spans="2:11" ht="15" customHeight="1">
      <c r="B36" s="202"/>
      <c r="C36" s="203"/>
      <c r="D36" s="201"/>
      <c r="E36" s="204" t="s">
        <v>163</v>
      </c>
      <c r="F36" s="201"/>
      <c r="G36" s="319" t="s">
        <v>4367</v>
      </c>
      <c r="H36" s="319"/>
      <c r="I36" s="319"/>
      <c r="J36" s="319"/>
      <c r="K36" s="199"/>
    </row>
    <row r="37" spans="2:11" ht="30.75" customHeight="1">
      <c r="B37" s="202"/>
      <c r="C37" s="203"/>
      <c r="D37" s="201"/>
      <c r="E37" s="204" t="s">
        <v>4368</v>
      </c>
      <c r="F37" s="201"/>
      <c r="G37" s="319" t="s">
        <v>4369</v>
      </c>
      <c r="H37" s="319"/>
      <c r="I37" s="319"/>
      <c r="J37" s="319"/>
      <c r="K37" s="199"/>
    </row>
    <row r="38" spans="2:11" ht="15" customHeight="1">
      <c r="B38" s="202"/>
      <c r="C38" s="203"/>
      <c r="D38" s="201"/>
      <c r="E38" s="204" t="s">
        <v>58</v>
      </c>
      <c r="F38" s="201"/>
      <c r="G38" s="319" t="s">
        <v>4370</v>
      </c>
      <c r="H38" s="319"/>
      <c r="I38" s="319"/>
      <c r="J38" s="319"/>
      <c r="K38" s="199"/>
    </row>
    <row r="39" spans="2:11" ht="15" customHeight="1">
      <c r="B39" s="202"/>
      <c r="C39" s="203"/>
      <c r="D39" s="201"/>
      <c r="E39" s="204" t="s">
        <v>59</v>
      </c>
      <c r="F39" s="201"/>
      <c r="G39" s="319" t="s">
        <v>4371</v>
      </c>
      <c r="H39" s="319"/>
      <c r="I39" s="319"/>
      <c r="J39" s="319"/>
      <c r="K39" s="199"/>
    </row>
    <row r="40" spans="2:11" ht="15" customHeight="1">
      <c r="B40" s="202"/>
      <c r="C40" s="203"/>
      <c r="D40" s="201"/>
      <c r="E40" s="204" t="s">
        <v>164</v>
      </c>
      <c r="F40" s="201"/>
      <c r="G40" s="319" t="s">
        <v>4372</v>
      </c>
      <c r="H40" s="319"/>
      <c r="I40" s="319"/>
      <c r="J40" s="319"/>
      <c r="K40" s="199"/>
    </row>
    <row r="41" spans="2:11" ht="15" customHeight="1">
      <c r="B41" s="202"/>
      <c r="C41" s="203"/>
      <c r="D41" s="201"/>
      <c r="E41" s="204" t="s">
        <v>165</v>
      </c>
      <c r="F41" s="201"/>
      <c r="G41" s="319" t="s">
        <v>4373</v>
      </c>
      <c r="H41" s="319"/>
      <c r="I41" s="319"/>
      <c r="J41" s="319"/>
      <c r="K41" s="199"/>
    </row>
    <row r="42" spans="2:11" ht="15" customHeight="1">
      <c r="B42" s="202"/>
      <c r="C42" s="203"/>
      <c r="D42" s="201"/>
      <c r="E42" s="204" t="s">
        <v>4374</v>
      </c>
      <c r="F42" s="201"/>
      <c r="G42" s="319" t="s">
        <v>4375</v>
      </c>
      <c r="H42" s="319"/>
      <c r="I42" s="319"/>
      <c r="J42" s="319"/>
      <c r="K42" s="199"/>
    </row>
    <row r="43" spans="2:11" ht="15" customHeight="1">
      <c r="B43" s="202"/>
      <c r="C43" s="203"/>
      <c r="D43" s="201"/>
      <c r="E43" s="204"/>
      <c r="F43" s="201"/>
      <c r="G43" s="319" t="s">
        <v>4376</v>
      </c>
      <c r="H43" s="319"/>
      <c r="I43" s="319"/>
      <c r="J43" s="319"/>
      <c r="K43" s="199"/>
    </row>
    <row r="44" spans="2:11" ht="15" customHeight="1">
      <c r="B44" s="202"/>
      <c r="C44" s="203"/>
      <c r="D44" s="201"/>
      <c r="E44" s="204" t="s">
        <v>4377</v>
      </c>
      <c r="F44" s="201"/>
      <c r="G44" s="319" t="s">
        <v>4378</v>
      </c>
      <c r="H44" s="319"/>
      <c r="I44" s="319"/>
      <c r="J44" s="319"/>
      <c r="K44" s="199"/>
    </row>
    <row r="45" spans="2:11" ht="15" customHeight="1">
      <c r="B45" s="202"/>
      <c r="C45" s="203"/>
      <c r="D45" s="201"/>
      <c r="E45" s="204" t="s">
        <v>167</v>
      </c>
      <c r="F45" s="201"/>
      <c r="G45" s="319" t="s">
        <v>4379</v>
      </c>
      <c r="H45" s="319"/>
      <c r="I45" s="319"/>
      <c r="J45" s="319"/>
      <c r="K45" s="199"/>
    </row>
    <row r="46" spans="2:11" ht="12.75" customHeight="1">
      <c r="B46" s="202"/>
      <c r="C46" s="203"/>
      <c r="D46" s="201"/>
      <c r="E46" s="201"/>
      <c r="F46" s="201"/>
      <c r="G46" s="201"/>
      <c r="H46" s="201"/>
      <c r="I46" s="201"/>
      <c r="J46" s="201"/>
      <c r="K46" s="199"/>
    </row>
    <row r="47" spans="2:11" ht="15" customHeight="1">
      <c r="B47" s="202"/>
      <c r="C47" s="203"/>
      <c r="D47" s="319" t="s">
        <v>4380</v>
      </c>
      <c r="E47" s="319"/>
      <c r="F47" s="319"/>
      <c r="G47" s="319"/>
      <c r="H47" s="319"/>
      <c r="I47" s="319"/>
      <c r="J47" s="319"/>
      <c r="K47" s="199"/>
    </row>
    <row r="48" spans="2:11" ht="15" customHeight="1">
      <c r="B48" s="202"/>
      <c r="C48" s="203"/>
      <c r="D48" s="203"/>
      <c r="E48" s="319" t="s">
        <v>4381</v>
      </c>
      <c r="F48" s="319"/>
      <c r="G48" s="319"/>
      <c r="H48" s="319"/>
      <c r="I48" s="319"/>
      <c r="J48" s="319"/>
      <c r="K48" s="199"/>
    </row>
    <row r="49" spans="2:11" ht="15" customHeight="1">
      <c r="B49" s="202"/>
      <c r="C49" s="203"/>
      <c r="D49" s="203"/>
      <c r="E49" s="319" t="s">
        <v>4382</v>
      </c>
      <c r="F49" s="319"/>
      <c r="G49" s="319"/>
      <c r="H49" s="319"/>
      <c r="I49" s="319"/>
      <c r="J49" s="319"/>
      <c r="K49" s="199"/>
    </row>
    <row r="50" spans="2:11" ht="15" customHeight="1">
      <c r="B50" s="202"/>
      <c r="C50" s="203"/>
      <c r="D50" s="203"/>
      <c r="E50" s="319" t="s">
        <v>4383</v>
      </c>
      <c r="F50" s="319"/>
      <c r="G50" s="319"/>
      <c r="H50" s="319"/>
      <c r="I50" s="319"/>
      <c r="J50" s="319"/>
      <c r="K50" s="199"/>
    </row>
    <row r="51" spans="2:11" ht="15" customHeight="1">
      <c r="B51" s="202"/>
      <c r="C51" s="203"/>
      <c r="D51" s="319" t="s">
        <v>4384</v>
      </c>
      <c r="E51" s="319"/>
      <c r="F51" s="319"/>
      <c r="G51" s="319"/>
      <c r="H51" s="319"/>
      <c r="I51" s="319"/>
      <c r="J51" s="319"/>
      <c r="K51" s="199"/>
    </row>
    <row r="52" spans="2:11" ht="25.5" customHeight="1">
      <c r="B52" s="198"/>
      <c r="C52" s="320" t="s">
        <v>4385</v>
      </c>
      <c r="D52" s="320"/>
      <c r="E52" s="320"/>
      <c r="F52" s="320"/>
      <c r="G52" s="320"/>
      <c r="H52" s="320"/>
      <c r="I52" s="320"/>
      <c r="J52" s="320"/>
      <c r="K52" s="199"/>
    </row>
    <row r="53" spans="2:11" ht="5.25" customHeight="1">
      <c r="B53" s="198"/>
      <c r="C53" s="200"/>
      <c r="D53" s="200"/>
      <c r="E53" s="200"/>
      <c r="F53" s="200"/>
      <c r="G53" s="200"/>
      <c r="H53" s="200"/>
      <c r="I53" s="200"/>
      <c r="J53" s="200"/>
      <c r="K53" s="199"/>
    </row>
    <row r="54" spans="2:11" ht="15" customHeight="1">
      <c r="B54" s="198"/>
      <c r="C54" s="319" t="s">
        <v>4386</v>
      </c>
      <c r="D54" s="319"/>
      <c r="E54" s="319"/>
      <c r="F54" s="319"/>
      <c r="G54" s="319"/>
      <c r="H54" s="319"/>
      <c r="I54" s="319"/>
      <c r="J54" s="319"/>
      <c r="K54" s="199"/>
    </row>
    <row r="55" spans="2:11" ht="15" customHeight="1">
      <c r="B55" s="198"/>
      <c r="C55" s="319" t="s">
        <v>4387</v>
      </c>
      <c r="D55" s="319"/>
      <c r="E55" s="319"/>
      <c r="F55" s="319"/>
      <c r="G55" s="319"/>
      <c r="H55" s="319"/>
      <c r="I55" s="319"/>
      <c r="J55" s="319"/>
      <c r="K55" s="199"/>
    </row>
    <row r="56" spans="2:11" ht="12.75" customHeight="1">
      <c r="B56" s="198"/>
      <c r="C56" s="201"/>
      <c r="D56" s="201"/>
      <c r="E56" s="201"/>
      <c r="F56" s="201"/>
      <c r="G56" s="201"/>
      <c r="H56" s="201"/>
      <c r="I56" s="201"/>
      <c r="J56" s="201"/>
      <c r="K56" s="199"/>
    </row>
    <row r="57" spans="2:11" ht="15" customHeight="1">
      <c r="B57" s="198"/>
      <c r="C57" s="319" t="s">
        <v>4388</v>
      </c>
      <c r="D57" s="319"/>
      <c r="E57" s="319"/>
      <c r="F57" s="319"/>
      <c r="G57" s="319"/>
      <c r="H57" s="319"/>
      <c r="I57" s="319"/>
      <c r="J57" s="319"/>
      <c r="K57" s="199"/>
    </row>
    <row r="58" spans="2:11" ht="15" customHeight="1">
      <c r="B58" s="198"/>
      <c r="C58" s="203"/>
      <c r="D58" s="319" t="s">
        <v>4389</v>
      </c>
      <c r="E58" s="319"/>
      <c r="F58" s="319"/>
      <c r="G58" s="319"/>
      <c r="H58" s="319"/>
      <c r="I58" s="319"/>
      <c r="J58" s="319"/>
      <c r="K58" s="199"/>
    </row>
    <row r="59" spans="2:11" ht="15" customHeight="1">
      <c r="B59" s="198"/>
      <c r="C59" s="203"/>
      <c r="D59" s="319" t="s">
        <v>4390</v>
      </c>
      <c r="E59" s="319"/>
      <c r="F59" s="319"/>
      <c r="G59" s="319"/>
      <c r="H59" s="319"/>
      <c r="I59" s="319"/>
      <c r="J59" s="319"/>
      <c r="K59" s="199"/>
    </row>
    <row r="60" spans="2:11" ht="15" customHeight="1">
      <c r="B60" s="198"/>
      <c r="C60" s="203"/>
      <c r="D60" s="319" t="s">
        <v>4391</v>
      </c>
      <c r="E60" s="319"/>
      <c r="F60" s="319"/>
      <c r="G60" s="319"/>
      <c r="H60" s="319"/>
      <c r="I60" s="319"/>
      <c r="J60" s="319"/>
      <c r="K60" s="199"/>
    </row>
    <row r="61" spans="2:11" ht="15" customHeight="1">
      <c r="B61" s="198"/>
      <c r="C61" s="203"/>
      <c r="D61" s="319" t="s">
        <v>4392</v>
      </c>
      <c r="E61" s="319"/>
      <c r="F61" s="319"/>
      <c r="G61" s="319"/>
      <c r="H61" s="319"/>
      <c r="I61" s="319"/>
      <c r="J61" s="319"/>
      <c r="K61" s="199"/>
    </row>
    <row r="62" spans="2:11" ht="15" customHeight="1">
      <c r="B62" s="198"/>
      <c r="C62" s="203"/>
      <c r="D62" s="322" t="s">
        <v>4393</v>
      </c>
      <c r="E62" s="322"/>
      <c r="F62" s="322"/>
      <c r="G62" s="322"/>
      <c r="H62" s="322"/>
      <c r="I62" s="322"/>
      <c r="J62" s="322"/>
      <c r="K62" s="199"/>
    </row>
    <row r="63" spans="2:11" ht="15" customHeight="1">
      <c r="B63" s="198"/>
      <c r="C63" s="203"/>
      <c r="D63" s="319" t="s">
        <v>4394</v>
      </c>
      <c r="E63" s="319"/>
      <c r="F63" s="319"/>
      <c r="G63" s="319"/>
      <c r="H63" s="319"/>
      <c r="I63" s="319"/>
      <c r="J63" s="319"/>
      <c r="K63" s="199"/>
    </row>
    <row r="64" spans="2:11" ht="12.75" customHeight="1">
      <c r="B64" s="198"/>
      <c r="C64" s="203"/>
      <c r="D64" s="203"/>
      <c r="E64" s="206"/>
      <c r="F64" s="203"/>
      <c r="G64" s="203"/>
      <c r="H64" s="203"/>
      <c r="I64" s="203"/>
      <c r="J64" s="203"/>
      <c r="K64" s="199"/>
    </row>
    <row r="65" spans="2:11" ht="15" customHeight="1">
      <c r="B65" s="198"/>
      <c r="C65" s="203"/>
      <c r="D65" s="319" t="s">
        <v>4395</v>
      </c>
      <c r="E65" s="319"/>
      <c r="F65" s="319"/>
      <c r="G65" s="319"/>
      <c r="H65" s="319"/>
      <c r="I65" s="319"/>
      <c r="J65" s="319"/>
      <c r="K65" s="199"/>
    </row>
    <row r="66" spans="2:11" ht="15" customHeight="1">
      <c r="B66" s="198"/>
      <c r="C66" s="203"/>
      <c r="D66" s="322" t="s">
        <v>4396</v>
      </c>
      <c r="E66" s="322"/>
      <c r="F66" s="322"/>
      <c r="G66" s="322"/>
      <c r="H66" s="322"/>
      <c r="I66" s="322"/>
      <c r="J66" s="322"/>
      <c r="K66" s="199"/>
    </row>
    <row r="67" spans="2:11" ht="15" customHeight="1">
      <c r="B67" s="198"/>
      <c r="C67" s="203"/>
      <c r="D67" s="319" t="s">
        <v>4397</v>
      </c>
      <c r="E67" s="319"/>
      <c r="F67" s="319"/>
      <c r="G67" s="319"/>
      <c r="H67" s="319"/>
      <c r="I67" s="319"/>
      <c r="J67" s="319"/>
      <c r="K67" s="199"/>
    </row>
    <row r="68" spans="2:11" ht="15" customHeight="1">
      <c r="B68" s="198"/>
      <c r="C68" s="203"/>
      <c r="D68" s="319" t="s">
        <v>4398</v>
      </c>
      <c r="E68" s="319"/>
      <c r="F68" s="319"/>
      <c r="G68" s="319"/>
      <c r="H68" s="319"/>
      <c r="I68" s="319"/>
      <c r="J68" s="319"/>
      <c r="K68" s="199"/>
    </row>
    <row r="69" spans="2:11" ht="15" customHeight="1">
      <c r="B69" s="198"/>
      <c r="C69" s="203"/>
      <c r="D69" s="319" t="s">
        <v>4399</v>
      </c>
      <c r="E69" s="319"/>
      <c r="F69" s="319"/>
      <c r="G69" s="319"/>
      <c r="H69" s="319"/>
      <c r="I69" s="319"/>
      <c r="J69" s="319"/>
      <c r="K69" s="199"/>
    </row>
    <row r="70" spans="2:11" ht="15" customHeight="1">
      <c r="B70" s="198"/>
      <c r="C70" s="203"/>
      <c r="D70" s="319" t="s">
        <v>4400</v>
      </c>
      <c r="E70" s="319"/>
      <c r="F70" s="319"/>
      <c r="G70" s="319"/>
      <c r="H70" s="319"/>
      <c r="I70" s="319"/>
      <c r="J70" s="319"/>
      <c r="K70" s="199"/>
    </row>
    <row r="71" spans="2:11" ht="12.75" customHeight="1">
      <c r="B71" s="207"/>
      <c r="C71" s="208"/>
      <c r="D71" s="208"/>
      <c r="E71" s="208"/>
      <c r="F71" s="208"/>
      <c r="G71" s="208"/>
      <c r="H71" s="208"/>
      <c r="I71" s="208"/>
      <c r="J71" s="208"/>
      <c r="K71" s="209"/>
    </row>
    <row r="72" spans="2:11" ht="18.75" customHeight="1">
      <c r="B72" s="210"/>
      <c r="C72" s="210"/>
      <c r="D72" s="210"/>
      <c r="E72" s="210"/>
      <c r="F72" s="210"/>
      <c r="G72" s="210"/>
      <c r="H72" s="210"/>
      <c r="I72" s="210"/>
      <c r="J72" s="210"/>
      <c r="K72" s="211"/>
    </row>
    <row r="73" spans="2:11" ht="18.75" customHeight="1">
      <c r="B73" s="211"/>
      <c r="C73" s="211"/>
      <c r="D73" s="211"/>
      <c r="E73" s="211"/>
      <c r="F73" s="211"/>
      <c r="G73" s="211"/>
      <c r="H73" s="211"/>
      <c r="I73" s="211"/>
      <c r="J73" s="211"/>
      <c r="K73" s="211"/>
    </row>
    <row r="74" spans="2:11" ht="7.5" customHeight="1">
      <c r="B74" s="212"/>
      <c r="C74" s="213"/>
      <c r="D74" s="213"/>
      <c r="E74" s="213"/>
      <c r="F74" s="213"/>
      <c r="G74" s="213"/>
      <c r="H74" s="213"/>
      <c r="I74" s="213"/>
      <c r="J74" s="213"/>
      <c r="K74" s="214"/>
    </row>
    <row r="75" spans="2:11" ht="45" customHeight="1">
      <c r="B75" s="215"/>
      <c r="C75" s="323" t="s">
        <v>4401</v>
      </c>
      <c r="D75" s="323"/>
      <c r="E75" s="323"/>
      <c r="F75" s="323"/>
      <c r="G75" s="323"/>
      <c r="H75" s="323"/>
      <c r="I75" s="323"/>
      <c r="J75" s="323"/>
      <c r="K75" s="216"/>
    </row>
    <row r="76" spans="2:11" ht="17.25" customHeight="1">
      <c r="B76" s="215"/>
      <c r="C76" s="217" t="s">
        <v>4402</v>
      </c>
      <c r="D76" s="217"/>
      <c r="E76" s="217"/>
      <c r="F76" s="217" t="s">
        <v>4403</v>
      </c>
      <c r="G76" s="218"/>
      <c r="H76" s="217" t="s">
        <v>59</v>
      </c>
      <c r="I76" s="217" t="s">
        <v>62</v>
      </c>
      <c r="J76" s="217" t="s">
        <v>4404</v>
      </c>
      <c r="K76" s="216"/>
    </row>
    <row r="77" spans="2:11" ht="17.25" customHeight="1">
      <c r="B77" s="215"/>
      <c r="C77" s="219" t="s">
        <v>4405</v>
      </c>
      <c r="D77" s="219"/>
      <c r="E77" s="219"/>
      <c r="F77" s="220" t="s">
        <v>4406</v>
      </c>
      <c r="G77" s="221"/>
      <c r="H77" s="219"/>
      <c r="I77" s="219"/>
      <c r="J77" s="219" t="s">
        <v>4407</v>
      </c>
      <c r="K77" s="216"/>
    </row>
    <row r="78" spans="2:11" ht="5.25" customHeight="1">
      <c r="B78" s="215"/>
      <c r="C78" s="222"/>
      <c r="D78" s="222"/>
      <c r="E78" s="222"/>
      <c r="F78" s="222"/>
      <c r="G78" s="223"/>
      <c r="H78" s="222"/>
      <c r="I78" s="222"/>
      <c r="J78" s="222"/>
      <c r="K78" s="216"/>
    </row>
    <row r="79" spans="2:11" ht="15" customHeight="1">
      <c r="B79" s="215"/>
      <c r="C79" s="204" t="s">
        <v>58</v>
      </c>
      <c r="D79" s="224"/>
      <c r="E79" s="224"/>
      <c r="F79" s="225" t="s">
        <v>4408</v>
      </c>
      <c r="G79" s="226"/>
      <c r="H79" s="204" t="s">
        <v>4409</v>
      </c>
      <c r="I79" s="204" t="s">
        <v>4410</v>
      </c>
      <c r="J79" s="204">
        <v>20</v>
      </c>
      <c r="K79" s="216"/>
    </row>
    <row r="80" spans="2:11" ht="15" customHeight="1">
      <c r="B80" s="215"/>
      <c r="C80" s="204" t="s">
        <v>4411</v>
      </c>
      <c r="D80" s="204"/>
      <c r="E80" s="204"/>
      <c r="F80" s="225" t="s">
        <v>4408</v>
      </c>
      <c r="G80" s="226"/>
      <c r="H80" s="204" t="s">
        <v>4412</v>
      </c>
      <c r="I80" s="204" t="s">
        <v>4410</v>
      </c>
      <c r="J80" s="204">
        <v>120</v>
      </c>
      <c r="K80" s="216"/>
    </row>
    <row r="81" spans="2:11" ht="15" customHeight="1">
      <c r="B81" s="227"/>
      <c r="C81" s="204" t="s">
        <v>4413</v>
      </c>
      <c r="D81" s="204"/>
      <c r="E81" s="204"/>
      <c r="F81" s="225" t="s">
        <v>4414</v>
      </c>
      <c r="G81" s="226"/>
      <c r="H81" s="204" t="s">
        <v>4415</v>
      </c>
      <c r="I81" s="204" t="s">
        <v>4410</v>
      </c>
      <c r="J81" s="204">
        <v>50</v>
      </c>
      <c r="K81" s="216"/>
    </row>
    <row r="82" spans="2:11" ht="15" customHeight="1">
      <c r="B82" s="227"/>
      <c r="C82" s="204" t="s">
        <v>4416</v>
      </c>
      <c r="D82" s="204"/>
      <c r="E82" s="204"/>
      <c r="F82" s="225" t="s">
        <v>4408</v>
      </c>
      <c r="G82" s="226"/>
      <c r="H82" s="204" t="s">
        <v>4417</v>
      </c>
      <c r="I82" s="204" t="s">
        <v>4418</v>
      </c>
      <c r="J82" s="204"/>
      <c r="K82" s="216"/>
    </row>
    <row r="83" spans="2:11" ht="15" customHeight="1">
      <c r="B83" s="227"/>
      <c r="C83" s="204" t="s">
        <v>4419</v>
      </c>
      <c r="D83" s="204"/>
      <c r="E83" s="204"/>
      <c r="F83" s="225" t="s">
        <v>4414</v>
      </c>
      <c r="G83" s="204"/>
      <c r="H83" s="204" t="s">
        <v>4420</v>
      </c>
      <c r="I83" s="204" t="s">
        <v>4410</v>
      </c>
      <c r="J83" s="204">
        <v>15</v>
      </c>
      <c r="K83" s="216"/>
    </row>
    <row r="84" spans="2:11" ht="15" customHeight="1">
      <c r="B84" s="227"/>
      <c r="C84" s="204" t="s">
        <v>4421</v>
      </c>
      <c r="D84" s="204"/>
      <c r="E84" s="204"/>
      <c r="F84" s="225" t="s">
        <v>4414</v>
      </c>
      <c r="G84" s="204"/>
      <c r="H84" s="204" t="s">
        <v>4422</v>
      </c>
      <c r="I84" s="204" t="s">
        <v>4410</v>
      </c>
      <c r="J84" s="204">
        <v>15</v>
      </c>
      <c r="K84" s="216"/>
    </row>
    <row r="85" spans="2:11" ht="15" customHeight="1">
      <c r="B85" s="227"/>
      <c r="C85" s="204" t="s">
        <v>4423</v>
      </c>
      <c r="D85" s="204"/>
      <c r="E85" s="204"/>
      <c r="F85" s="225" t="s">
        <v>4414</v>
      </c>
      <c r="G85" s="204"/>
      <c r="H85" s="204" t="s">
        <v>4424</v>
      </c>
      <c r="I85" s="204" t="s">
        <v>4410</v>
      </c>
      <c r="J85" s="204">
        <v>20</v>
      </c>
      <c r="K85" s="216"/>
    </row>
    <row r="86" spans="2:11" ht="15" customHeight="1">
      <c r="B86" s="227"/>
      <c r="C86" s="204" t="s">
        <v>4425</v>
      </c>
      <c r="D86" s="204"/>
      <c r="E86" s="204"/>
      <c r="F86" s="225" t="s">
        <v>4414</v>
      </c>
      <c r="G86" s="204"/>
      <c r="H86" s="204" t="s">
        <v>4426</v>
      </c>
      <c r="I86" s="204" t="s">
        <v>4410</v>
      </c>
      <c r="J86" s="204">
        <v>20</v>
      </c>
      <c r="K86" s="216"/>
    </row>
    <row r="87" spans="2:11" ht="15" customHeight="1">
      <c r="B87" s="227"/>
      <c r="C87" s="204" t="s">
        <v>4427</v>
      </c>
      <c r="D87" s="204"/>
      <c r="E87" s="204"/>
      <c r="F87" s="225" t="s">
        <v>4414</v>
      </c>
      <c r="G87" s="226"/>
      <c r="H87" s="204" t="s">
        <v>4428</v>
      </c>
      <c r="I87" s="204" t="s">
        <v>4410</v>
      </c>
      <c r="J87" s="204">
        <v>50</v>
      </c>
      <c r="K87" s="216"/>
    </row>
    <row r="88" spans="2:11" ht="15" customHeight="1">
      <c r="B88" s="227"/>
      <c r="C88" s="204" t="s">
        <v>4429</v>
      </c>
      <c r="D88" s="204"/>
      <c r="E88" s="204"/>
      <c r="F88" s="225" t="s">
        <v>4414</v>
      </c>
      <c r="G88" s="226"/>
      <c r="H88" s="204" t="s">
        <v>4430</v>
      </c>
      <c r="I88" s="204" t="s">
        <v>4410</v>
      </c>
      <c r="J88" s="204">
        <v>20</v>
      </c>
      <c r="K88" s="216"/>
    </row>
    <row r="89" spans="2:11" ht="15" customHeight="1">
      <c r="B89" s="227"/>
      <c r="C89" s="204" t="s">
        <v>4431</v>
      </c>
      <c r="D89" s="204"/>
      <c r="E89" s="204"/>
      <c r="F89" s="225" t="s">
        <v>4414</v>
      </c>
      <c r="G89" s="226"/>
      <c r="H89" s="204" t="s">
        <v>4432</v>
      </c>
      <c r="I89" s="204" t="s">
        <v>4410</v>
      </c>
      <c r="J89" s="204">
        <v>20</v>
      </c>
      <c r="K89" s="216"/>
    </row>
    <row r="90" spans="2:11" ht="15" customHeight="1">
      <c r="B90" s="227"/>
      <c r="C90" s="204" t="s">
        <v>4433</v>
      </c>
      <c r="D90" s="204"/>
      <c r="E90" s="204"/>
      <c r="F90" s="225" t="s">
        <v>4414</v>
      </c>
      <c r="G90" s="226"/>
      <c r="H90" s="204" t="s">
        <v>4434</v>
      </c>
      <c r="I90" s="204" t="s">
        <v>4410</v>
      </c>
      <c r="J90" s="204">
        <v>50</v>
      </c>
      <c r="K90" s="216"/>
    </row>
    <row r="91" spans="2:11" ht="15" customHeight="1">
      <c r="B91" s="227"/>
      <c r="C91" s="204" t="s">
        <v>4435</v>
      </c>
      <c r="D91" s="204"/>
      <c r="E91" s="204"/>
      <c r="F91" s="225" t="s">
        <v>4414</v>
      </c>
      <c r="G91" s="226"/>
      <c r="H91" s="204" t="s">
        <v>4435</v>
      </c>
      <c r="I91" s="204" t="s">
        <v>4410</v>
      </c>
      <c r="J91" s="204">
        <v>50</v>
      </c>
      <c r="K91" s="216"/>
    </row>
    <row r="92" spans="2:11" ht="15" customHeight="1">
      <c r="B92" s="227"/>
      <c r="C92" s="204" t="s">
        <v>4436</v>
      </c>
      <c r="D92" s="204"/>
      <c r="E92" s="204"/>
      <c r="F92" s="225" t="s">
        <v>4414</v>
      </c>
      <c r="G92" s="226"/>
      <c r="H92" s="204" t="s">
        <v>4437</v>
      </c>
      <c r="I92" s="204" t="s">
        <v>4410</v>
      </c>
      <c r="J92" s="204">
        <v>255</v>
      </c>
      <c r="K92" s="216"/>
    </row>
    <row r="93" spans="2:11" ht="15" customHeight="1">
      <c r="B93" s="227"/>
      <c r="C93" s="204" t="s">
        <v>4438</v>
      </c>
      <c r="D93" s="204"/>
      <c r="E93" s="204"/>
      <c r="F93" s="225" t="s">
        <v>4408</v>
      </c>
      <c r="G93" s="226"/>
      <c r="H93" s="204" t="s">
        <v>4439</v>
      </c>
      <c r="I93" s="204" t="s">
        <v>4440</v>
      </c>
      <c r="J93" s="204"/>
      <c r="K93" s="216"/>
    </row>
    <row r="94" spans="2:11" ht="15" customHeight="1">
      <c r="B94" s="227"/>
      <c r="C94" s="204" t="s">
        <v>4441</v>
      </c>
      <c r="D94" s="204"/>
      <c r="E94" s="204"/>
      <c r="F94" s="225" t="s">
        <v>4408</v>
      </c>
      <c r="G94" s="226"/>
      <c r="H94" s="204" t="s">
        <v>4442</v>
      </c>
      <c r="I94" s="204" t="s">
        <v>4443</v>
      </c>
      <c r="J94" s="204"/>
      <c r="K94" s="216"/>
    </row>
    <row r="95" spans="2:11" ht="15" customHeight="1">
      <c r="B95" s="227"/>
      <c r="C95" s="204" t="s">
        <v>4444</v>
      </c>
      <c r="D95" s="204"/>
      <c r="E95" s="204"/>
      <c r="F95" s="225" t="s">
        <v>4408</v>
      </c>
      <c r="G95" s="226"/>
      <c r="H95" s="204" t="s">
        <v>4444</v>
      </c>
      <c r="I95" s="204" t="s">
        <v>4443</v>
      </c>
      <c r="J95" s="204"/>
      <c r="K95" s="216"/>
    </row>
    <row r="96" spans="2:11" ht="15" customHeight="1">
      <c r="B96" s="227"/>
      <c r="C96" s="204" t="s">
        <v>43</v>
      </c>
      <c r="D96" s="204"/>
      <c r="E96" s="204"/>
      <c r="F96" s="225" t="s">
        <v>4408</v>
      </c>
      <c r="G96" s="226"/>
      <c r="H96" s="204" t="s">
        <v>4445</v>
      </c>
      <c r="I96" s="204" t="s">
        <v>4443</v>
      </c>
      <c r="J96" s="204"/>
      <c r="K96" s="216"/>
    </row>
    <row r="97" spans="2:11" ht="15" customHeight="1">
      <c r="B97" s="227"/>
      <c r="C97" s="204" t="s">
        <v>53</v>
      </c>
      <c r="D97" s="204"/>
      <c r="E97" s="204"/>
      <c r="F97" s="225" t="s">
        <v>4408</v>
      </c>
      <c r="G97" s="226"/>
      <c r="H97" s="204" t="s">
        <v>4446</v>
      </c>
      <c r="I97" s="204" t="s">
        <v>4443</v>
      </c>
      <c r="J97" s="204"/>
      <c r="K97" s="216"/>
    </row>
    <row r="98" spans="2:11" ht="15" customHeight="1">
      <c r="B98" s="228"/>
      <c r="C98" s="229"/>
      <c r="D98" s="229"/>
      <c r="E98" s="229"/>
      <c r="F98" s="229"/>
      <c r="G98" s="229"/>
      <c r="H98" s="229"/>
      <c r="I98" s="229"/>
      <c r="J98" s="229"/>
      <c r="K98" s="230"/>
    </row>
    <row r="99" spans="2:11" ht="18.75" customHeight="1">
      <c r="B99" s="231"/>
      <c r="C99" s="232"/>
      <c r="D99" s="232"/>
      <c r="E99" s="232"/>
      <c r="F99" s="232"/>
      <c r="G99" s="232"/>
      <c r="H99" s="232"/>
      <c r="I99" s="232"/>
      <c r="J99" s="232"/>
      <c r="K99" s="231"/>
    </row>
    <row r="100" spans="2:11" ht="18.75" customHeight="1">
      <c r="B100" s="211"/>
      <c r="C100" s="211"/>
      <c r="D100" s="211"/>
      <c r="E100" s="211"/>
      <c r="F100" s="211"/>
      <c r="G100" s="211"/>
      <c r="H100" s="211"/>
      <c r="I100" s="211"/>
      <c r="J100" s="211"/>
      <c r="K100" s="211"/>
    </row>
    <row r="101" spans="2:11" ht="7.5" customHeight="1">
      <c r="B101" s="212"/>
      <c r="C101" s="213"/>
      <c r="D101" s="213"/>
      <c r="E101" s="213"/>
      <c r="F101" s="213"/>
      <c r="G101" s="213"/>
      <c r="H101" s="213"/>
      <c r="I101" s="213"/>
      <c r="J101" s="213"/>
      <c r="K101" s="214"/>
    </row>
    <row r="102" spans="2:11" ht="45" customHeight="1">
      <c r="B102" s="215"/>
      <c r="C102" s="323" t="s">
        <v>4447</v>
      </c>
      <c r="D102" s="323"/>
      <c r="E102" s="323"/>
      <c r="F102" s="323"/>
      <c r="G102" s="323"/>
      <c r="H102" s="323"/>
      <c r="I102" s="323"/>
      <c r="J102" s="323"/>
      <c r="K102" s="216"/>
    </row>
    <row r="103" spans="2:11" ht="17.25" customHeight="1">
      <c r="B103" s="215"/>
      <c r="C103" s="217" t="s">
        <v>4402</v>
      </c>
      <c r="D103" s="217"/>
      <c r="E103" s="217"/>
      <c r="F103" s="217" t="s">
        <v>4403</v>
      </c>
      <c r="G103" s="218"/>
      <c r="H103" s="217" t="s">
        <v>59</v>
      </c>
      <c r="I103" s="217" t="s">
        <v>62</v>
      </c>
      <c r="J103" s="217" t="s">
        <v>4404</v>
      </c>
      <c r="K103" s="216"/>
    </row>
    <row r="104" spans="2:11" ht="17.25" customHeight="1">
      <c r="B104" s="215"/>
      <c r="C104" s="219" t="s">
        <v>4405</v>
      </c>
      <c r="D104" s="219"/>
      <c r="E104" s="219"/>
      <c r="F104" s="220" t="s">
        <v>4406</v>
      </c>
      <c r="G104" s="221"/>
      <c r="H104" s="219"/>
      <c r="I104" s="219"/>
      <c r="J104" s="219" t="s">
        <v>4407</v>
      </c>
      <c r="K104" s="216"/>
    </row>
    <row r="105" spans="2:11" ht="5.25" customHeight="1">
      <c r="B105" s="215"/>
      <c r="C105" s="217"/>
      <c r="D105" s="217"/>
      <c r="E105" s="217"/>
      <c r="F105" s="217"/>
      <c r="G105" s="233"/>
      <c r="H105" s="217"/>
      <c r="I105" s="217"/>
      <c r="J105" s="217"/>
      <c r="K105" s="216"/>
    </row>
    <row r="106" spans="2:11" ht="15" customHeight="1">
      <c r="B106" s="215"/>
      <c r="C106" s="204" t="s">
        <v>58</v>
      </c>
      <c r="D106" s="224"/>
      <c r="E106" s="224"/>
      <c r="F106" s="225" t="s">
        <v>4408</v>
      </c>
      <c r="G106" s="204"/>
      <c r="H106" s="204" t="s">
        <v>4448</v>
      </c>
      <c r="I106" s="204" t="s">
        <v>4410</v>
      </c>
      <c r="J106" s="204">
        <v>20</v>
      </c>
      <c r="K106" s="216"/>
    </row>
    <row r="107" spans="2:11" ht="15" customHeight="1">
      <c r="B107" s="215"/>
      <c r="C107" s="204" t="s">
        <v>4411</v>
      </c>
      <c r="D107" s="204"/>
      <c r="E107" s="204"/>
      <c r="F107" s="225" t="s">
        <v>4408</v>
      </c>
      <c r="G107" s="204"/>
      <c r="H107" s="204" t="s">
        <v>4448</v>
      </c>
      <c r="I107" s="204" t="s">
        <v>4410</v>
      </c>
      <c r="J107" s="204">
        <v>120</v>
      </c>
      <c r="K107" s="216"/>
    </row>
    <row r="108" spans="2:11" ht="15" customHeight="1">
      <c r="B108" s="227"/>
      <c r="C108" s="204" t="s">
        <v>4413</v>
      </c>
      <c r="D108" s="204"/>
      <c r="E108" s="204"/>
      <c r="F108" s="225" t="s">
        <v>4414</v>
      </c>
      <c r="G108" s="204"/>
      <c r="H108" s="204" t="s">
        <v>4448</v>
      </c>
      <c r="I108" s="204" t="s">
        <v>4410</v>
      </c>
      <c r="J108" s="204">
        <v>50</v>
      </c>
      <c r="K108" s="216"/>
    </row>
    <row r="109" spans="2:11" ht="15" customHeight="1">
      <c r="B109" s="227"/>
      <c r="C109" s="204" t="s">
        <v>4416</v>
      </c>
      <c r="D109" s="204"/>
      <c r="E109" s="204"/>
      <c r="F109" s="225" t="s">
        <v>4408</v>
      </c>
      <c r="G109" s="204"/>
      <c r="H109" s="204" t="s">
        <v>4448</v>
      </c>
      <c r="I109" s="204" t="s">
        <v>4418</v>
      </c>
      <c r="J109" s="204"/>
      <c r="K109" s="216"/>
    </row>
    <row r="110" spans="2:11" ht="15" customHeight="1">
      <c r="B110" s="227"/>
      <c r="C110" s="204" t="s">
        <v>4427</v>
      </c>
      <c r="D110" s="204"/>
      <c r="E110" s="204"/>
      <c r="F110" s="225" t="s">
        <v>4414</v>
      </c>
      <c r="G110" s="204"/>
      <c r="H110" s="204" t="s">
        <v>4448</v>
      </c>
      <c r="I110" s="204" t="s">
        <v>4410</v>
      </c>
      <c r="J110" s="204">
        <v>50</v>
      </c>
      <c r="K110" s="216"/>
    </row>
    <row r="111" spans="2:11" ht="15" customHeight="1">
      <c r="B111" s="227"/>
      <c r="C111" s="204" t="s">
        <v>4435</v>
      </c>
      <c r="D111" s="204"/>
      <c r="E111" s="204"/>
      <c r="F111" s="225" t="s">
        <v>4414</v>
      </c>
      <c r="G111" s="204"/>
      <c r="H111" s="204" t="s">
        <v>4448</v>
      </c>
      <c r="I111" s="204" t="s">
        <v>4410</v>
      </c>
      <c r="J111" s="204">
        <v>50</v>
      </c>
      <c r="K111" s="216"/>
    </row>
    <row r="112" spans="2:11" ht="15" customHeight="1">
      <c r="B112" s="227"/>
      <c r="C112" s="204" t="s">
        <v>4433</v>
      </c>
      <c r="D112" s="204"/>
      <c r="E112" s="204"/>
      <c r="F112" s="225" t="s">
        <v>4414</v>
      </c>
      <c r="G112" s="204"/>
      <c r="H112" s="204" t="s">
        <v>4448</v>
      </c>
      <c r="I112" s="204" t="s">
        <v>4410</v>
      </c>
      <c r="J112" s="204">
        <v>50</v>
      </c>
      <c r="K112" s="216"/>
    </row>
    <row r="113" spans="2:11" ht="15" customHeight="1">
      <c r="B113" s="227"/>
      <c r="C113" s="204" t="s">
        <v>58</v>
      </c>
      <c r="D113" s="204"/>
      <c r="E113" s="204"/>
      <c r="F113" s="225" t="s">
        <v>4408</v>
      </c>
      <c r="G113" s="204"/>
      <c r="H113" s="204" t="s">
        <v>4449</v>
      </c>
      <c r="I113" s="204" t="s">
        <v>4410</v>
      </c>
      <c r="J113" s="204">
        <v>20</v>
      </c>
      <c r="K113" s="216"/>
    </row>
    <row r="114" spans="2:11" ht="15" customHeight="1">
      <c r="B114" s="227"/>
      <c r="C114" s="204" t="s">
        <v>4450</v>
      </c>
      <c r="D114" s="204"/>
      <c r="E114" s="204"/>
      <c r="F114" s="225" t="s">
        <v>4408</v>
      </c>
      <c r="G114" s="204"/>
      <c r="H114" s="204" t="s">
        <v>4451</v>
      </c>
      <c r="I114" s="204" t="s">
        <v>4410</v>
      </c>
      <c r="J114" s="204">
        <v>120</v>
      </c>
      <c r="K114" s="216"/>
    </row>
    <row r="115" spans="2:11" ht="15" customHeight="1">
      <c r="B115" s="227"/>
      <c r="C115" s="204" t="s">
        <v>43</v>
      </c>
      <c r="D115" s="204"/>
      <c r="E115" s="204"/>
      <c r="F115" s="225" t="s">
        <v>4408</v>
      </c>
      <c r="G115" s="204"/>
      <c r="H115" s="204" t="s">
        <v>4452</v>
      </c>
      <c r="I115" s="204" t="s">
        <v>4443</v>
      </c>
      <c r="J115" s="204"/>
      <c r="K115" s="216"/>
    </row>
    <row r="116" spans="2:11" ht="15" customHeight="1">
      <c r="B116" s="227"/>
      <c r="C116" s="204" t="s">
        <v>53</v>
      </c>
      <c r="D116" s="204"/>
      <c r="E116" s="204"/>
      <c r="F116" s="225" t="s">
        <v>4408</v>
      </c>
      <c r="G116" s="204"/>
      <c r="H116" s="204" t="s">
        <v>4453</v>
      </c>
      <c r="I116" s="204" t="s">
        <v>4443</v>
      </c>
      <c r="J116" s="204"/>
      <c r="K116" s="216"/>
    </row>
    <row r="117" spans="2:11" ht="15" customHeight="1">
      <c r="B117" s="227"/>
      <c r="C117" s="204" t="s">
        <v>62</v>
      </c>
      <c r="D117" s="204"/>
      <c r="E117" s="204"/>
      <c r="F117" s="225" t="s">
        <v>4408</v>
      </c>
      <c r="G117" s="204"/>
      <c r="H117" s="204" t="s">
        <v>4454</v>
      </c>
      <c r="I117" s="204" t="s">
        <v>4455</v>
      </c>
      <c r="J117" s="204"/>
      <c r="K117" s="216"/>
    </row>
    <row r="118" spans="2:11" ht="15" customHeight="1">
      <c r="B118" s="228"/>
      <c r="C118" s="234"/>
      <c r="D118" s="234"/>
      <c r="E118" s="234"/>
      <c r="F118" s="234"/>
      <c r="G118" s="234"/>
      <c r="H118" s="234"/>
      <c r="I118" s="234"/>
      <c r="J118" s="234"/>
      <c r="K118" s="230"/>
    </row>
    <row r="119" spans="2:11" ht="18.75" customHeight="1">
      <c r="B119" s="235"/>
      <c r="C119" s="236"/>
      <c r="D119" s="236"/>
      <c r="E119" s="236"/>
      <c r="F119" s="237"/>
      <c r="G119" s="236"/>
      <c r="H119" s="236"/>
      <c r="I119" s="236"/>
      <c r="J119" s="236"/>
      <c r="K119" s="235"/>
    </row>
    <row r="120" spans="2:11" ht="18.75" customHeight="1">
      <c r="B120" s="211"/>
      <c r="C120" s="211"/>
      <c r="D120" s="211"/>
      <c r="E120" s="211"/>
      <c r="F120" s="211"/>
      <c r="G120" s="211"/>
      <c r="H120" s="211"/>
      <c r="I120" s="211"/>
      <c r="J120" s="211"/>
      <c r="K120" s="211"/>
    </row>
    <row r="121" spans="2:11" ht="7.5" customHeight="1">
      <c r="B121" s="238"/>
      <c r="C121" s="239"/>
      <c r="D121" s="239"/>
      <c r="E121" s="239"/>
      <c r="F121" s="239"/>
      <c r="G121" s="239"/>
      <c r="H121" s="239"/>
      <c r="I121" s="239"/>
      <c r="J121" s="239"/>
      <c r="K121" s="240"/>
    </row>
    <row r="122" spans="2:11" ht="45" customHeight="1">
      <c r="B122" s="241"/>
      <c r="C122" s="321" t="s">
        <v>4456</v>
      </c>
      <c r="D122" s="321"/>
      <c r="E122" s="321"/>
      <c r="F122" s="321"/>
      <c r="G122" s="321"/>
      <c r="H122" s="321"/>
      <c r="I122" s="321"/>
      <c r="J122" s="321"/>
      <c r="K122" s="242"/>
    </row>
    <row r="123" spans="2:11" ht="17.25" customHeight="1">
      <c r="B123" s="243"/>
      <c r="C123" s="217" t="s">
        <v>4402</v>
      </c>
      <c r="D123" s="217"/>
      <c r="E123" s="217"/>
      <c r="F123" s="217" t="s">
        <v>4403</v>
      </c>
      <c r="G123" s="218"/>
      <c r="H123" s="217" t="s">
        <v>59</v>
      </c>
      <c r="I123" s="217" t="s">
        <v>62</v>
      </c>
      <c r="J123" s="217" t="s">
        <v>4404</v>
      </c>
      <c r="K123" s="244"/>
    </row>
    <row r="124" spans="2:11" ht="17.25" customHeight="1">
      <c r="B124" s="243"/>
      <c r="C124" s="219" t="s">
        <v>4405</v>
      </c>
      <c r="D124" s="219"/>
      <c r="E124" s="219"/>
      <c r="F124" s="220" t="s">
        <v>4406</v>
      </c>
      <c r="G124" s="221"/>
      <c r="H124" s="219"/>
      <c r="I124" s="219"/>
      <c r="J124" s="219" t="s">
        <v>4407</v>
      </c>
      <c r="K124" s="244"/>
    </row>
    <row r="125" spans="2:11" ht="5.25" customHeight="1">
      <c r="B125" s="245"/>
      <c r="C125" s="222"/>
      <c r="D125" s="222"/>
      <c r="E125" s="222"/>
      <c r="F125" s="222"/>
      <c r="G125" s="246"/>
      <c r="H125" s="222"/>
      <c r="I125" s="222"/>
      <c r="J125" s="222"/>
      <c r="K125" s="247"/>
    </row>
    <row r="126" spans="2:11" ht="15" customHeight="1">
      <c r="B126" s="245"/>
      <c r="C126" s="204" t="s">
        <v>4411</v>
      </c>
      <c r="D126" s="224"/>
      <c r="E126" s="224"/>
      <c r="F126" s="225" t="s">
        <v>4408</v>
      </c>
      <c r="G126" s="204"/>
      <c r="H126" s="204" t="s">
        <v>4448</v>
      </c>
      <c r="I126" s="204" t="s">
        <v>4410</v>
      </c>
      <c r="J126" s="204">
        <v>120</v>
      </c>
      <c r="K126" s="248"/>
    </row>
    <row r="127" spans="2:11" ht="15" customHeight="1">
      <c r="B127" s="245"/>
      <c r="C127" s="204" t="s">
        <v>4457</v>
      </c>
      <c r="D127" s="204"/>
      <c r="E127" s="204"/>
      <c r="F127" s="225" t="s">
        <v>4408</v>
      </c>
      <c r="G127" s="204"/>
      <c r="H127" s="204" t="s">
        <v>4458</v>
      </c>
      <c r="I127" s="204" t="s">
        <v>4410</v>
      </c>
      <c r="J127" s="204" t="s">
        <v>4459</v>
      </c>
      <c r="K127" s="248"/>
    </row>
    <row r="128" spans="2:11" ht="15" customHeight="1">
      <c r="B128" s="245"/>
      <c r="C128" s="204" t="s">
        <v>4356</v>
      </c>
      <c r="D128" s="204"/>
      <c r="E128" s="204"/>
      <c r="F128" s="225" t="s">
        <v>4408</v>
      </c>
      <c r="G128" s="204"/>
      <c r="H128" s="204" t="s">
        <v>4460</v>
      </c>
      <c r="I128" s="204" t="s">
        <v>4410</v>
      </c>
      <c r="J128" s="204" t="s">
        <v>4459</v>
      </c>
      <c r="K128" s="248"/>
    </row>
    <row r="129" spans="2:11" ht="15" customHeight="1">
      <c r="B129" s="245"/>
      <c r="C129" s="204" t="s">
        <v>4419</v>
      </c>
      <c r="D129" s="204"/>
      <c r="E129" s="204"/>
      <c r="F129" s="225" t="s">
        <v>4414</v>
      </c>
      <c r="G129" s="204"/>
      <c r="H129" s="204" t="s">
        <v>4420</v>
      </c>
      <c r="I129" s="204" t="s">
        <v>4410</v>
      </c>
      <c r="J129" s="204">
        <v>15</v>
      </c>
      <c r="K129" s="248"/>
    </row>
    <row r="130" spans="2:11" ht="15" customHeight="1">
      <c r="B130" s="245"/>
      <c r="C130" s="204" t="s">
        <v>4421</v>
      </c>
      <c r="D130" s="204"/>
      <c r="E130" s="204"/>
      <c r="F130" s="225" t="s">
        <v>4414</v>
      </c>
      <c r="G130" s="204"/>
      <c r="H130" s="204" t="s">
        <v>4422</v>
      </c>
      <c r="I130" s="204" t="s">
        <v>4410</v>
      </c>
      <c r="J130" s="204">
        <v>15</v>
      </c>
      <c r="K130" s="248"/>
    </row>
    <row r="131" spans="2:11" ht="15" customHeight="1">
      <c r="B131" s="245"/>
      <c r="C131" s="204" t="s">
        <v>4423</v>
      </c>
      <c r="D131" s="204"/>
      <c r="E131" s="204"/>
      <c r="F131" s="225" t="s">
        <v>4414</v>
      </c>
      <c r="G131" s="204"/>
      <c r="H131" s="204" t="s">
        <v>4424</v>
      </c>
      <c r="I131" s="204" t="s">
        <v>4410</v>
      </c>
      <c r="J131" s="204">
        <v>20</v>
      </c>
      <c r="K131" s="248"/>
    </row>
    <row r="132" spans="2:11" ht="15" customHeight="1">
      <c r="B132" s="245"/>
      <c r="C132" s="204" t="s">
        <v>4425</v>
      </c>
      <c r="D132" s="204"/>
      <c r="E132" s="204"/>
      <c r="F132" s="225" t="s">
        <v>4414</v>
      </c>
      <c r="G132" s="204"/>
      <c r="H132" s="204" t="s">
        <v>4426</v>
      </c>
      <c r="I132" s="204" t="s">
        <v>4410</v>
      </c>
      <c r="J132" s="204">
        <v>20</v>
      </c>
      <c r="K132" s="248"/>
    </row>
    <row r="133" spans="2:11" ht="15" customHeight="1">
      <c r="B133" s="245"/>
      <c r="C133" s="204" t="s">
        <v>4413</v>
      </c>
      <c r="D133" s="204"/>
      <c r="E133" s="204"/>
      <c r="F133" s="225" t="s">
        <v>4414</v>
      </c>
      <c r="G133" s="204"/>
      <c r="H133" s="204" t="s">
        <v>4448</v>
      </c>
      <c r="I133" s="204" t="s">
        <v>4410</v>
      </c>
      <c r="J133" s="204">
        <v>50</v>
      </c>
      <c r="K133" s="248"/>
    </row>
    <row r="134" spans="2:11" ht="15" customHeight="1">
      <c r="B134" s="245"/>
      <c r="C134" s="204" t="s">
        <v>4427</v>
      </c>
      <c r="D134" s="204"/>
      <c r="E134" s="204"/>
      <c r="F134" s="225" t="s">
        <v>4414</v>
      </c>
      <c r="G134" s="204"/>
      <c r="H134" s="204" t="s">
        <v>4448</v>
      </c>
      <c r="I134" s="204" t="s">
        <v>4410</v>
      </c>
      <c r="J134" s="204">
        <v>50</v>
      </c>
      <c r="K134" s="248"/>
    </row>
    <row r="135" spans="2:11" ht="15" customHeight="1">
      <c r="B135" s="245"/>
      <c r="C135" s="204" t="s">
        <v>4433</v>
      </c>
      <c r="D135" s="204"/>
      <c r="E135" s="204"/>
      <c r="F135" s="225" t="s">
        <v>4414</v>
      </c>
      <c r="G135" s="204"/>
      <c r="H135" s="204" t="s">
        <v>4448</v>
      </c>
      <c r="I135" s="204" t="s">
        <v>4410</v>
      </c>
      <c r="J135" s="204">
        <v>50</v>
      </c>
      <c r="K135" s="248"/>
    </row>
    <row r="136" spans="2:11" ht="15" customHeight="1">
      <c r="B136" s="245"/>
      <c r="C136" s="204" t="s">
        <v>4435</v>
      </c>
      <c r="D136" s="204"/>
      <c r="E136" s="204"/>
      <c r="F136" s="225" t="s">
        <v>4414</v>
      </c>
      <c r="G136" s="204"/>
      <c r="H136" s="204" t="s">
        <v>4448</v>
      </c>
      <c r="I136" s="204" t="s">
        <v>4410</v>
      </c>
      <c r="J136" s="204">
        <v>50</v>
      </c>
      <c r="K136" s="248"/>
    </row>
    <row r="137" spans="2:11" ht="15" customHeight="1">
      <c r="B137" s="245"/>
      <c r="C137" s="204" t="s">
        <v>4436</v>
      </c>
      <c r="D137" s="204"/>
      <c r="E137" s="204"/>
      <c r="F137" s="225" t="s">
        <v>4414</v>
      </c>
      <c r="G137" s="204"/>
      <c r="H137" s="204" t="s">
        <v>4461</v>
      </c>
      <c r="I137" s="204" t="s">
        <v>4410</v>
      </c>
      <c r="J137" s="204">
        <v>255</v>
      </c>
      <c r="K137" s="248"/>
    </row>
    <row r="138" spans="2:11" ht="15" customHeight="1">
      <c r="B138" s="245"/>
      <c r="C138" s="204" t="s">
        <v>4438</v>
      </c>
      <c r="D138" s="204"/>
      <c r="E138" s="204"/>
      <c r="F138" s="225" t="s">
        <v>4408</v>
      </c>
      <c r="G138" s="204"/>
      <c r="H138" s="204" t="s">
        <v>4462</v>
      </c>
      <c r="I138" s="204" t="s">
        <v>4440</v>
      </c>
      <c r="J138" s="204"/>
      <c r="K138" s="248"/>
    </row>
    <row r="139" spans="2:11" ht="15" customHeight="1">
      <c r="B139" s="245"/>
      <c r="C139" s="204" t="s">
        <v>4441</v>
      </c>
      <c r="D139" s="204"/>
      <c r="E139" s="204"/>
      <c r="F139" s="225" t="s">
        <v>4408</v>
      </c>
      <c r="G139" s="204"/>
      <c r="H139" s="204" t="s">
        <v>4463</v>
      </c>
      <c r="I139" s="204" t="s">
        <v>4443</v>
      </c>
      <c r="J139" s="204"/>
      <c r="K139" s="248"/>
    </row>
    <row r="140" spans="2:11" ht="15" customHeight="1">
      <c r="B140" s="245"/>
      <c r="C140" s="204" t="s">
        <v>4444</v>
      </c>
      <c r="D140" s="204"/>
      <c r="E140" s="204"/>
      <c r="F140" s="225" t="s">
        <v>4408</v>
      </c>
      <c r="G140" s="204"/>
      <c r="H140" s="204" t="s">
        <v>4444</v>
      </c>
      <c r="I140" s="204" t="s">
        <v>4443</v>
      </c>
      <c r="J140" s="204"/>
      <c r="K140" s="248"/>
    </row>
    <row r="141" spans="2:11" ht="15" customHeight="1">
      <c r="B141" s="245"/>
      <c r="C141" s="204" t="s">
        <v>43</v>
      </c>
      <c r="D141" s="204"/>
      <c r="E141" s="204"/>
      <c r="F141" s="225" t="s">
        <v>4408</v>
      </c>
      <c r="G141" s="204"/>
      <c r="H141" s="204" t="s">
        <v>4464</v>
      </c>
      <c r="I141" s="204" t="s">
        <v>4443</v>
      </c>
      <c r="J141" s="204"/>
      <c r="K141" s="248"/>
    </row>
    <row r="142" spans="2:11" ht="15" customHeight="1">
      <c r="B142" s="245"/>
      <c r="C142" s="204" t="s">
        <v>4465</v>
      </c>
      <c r="D142" s="204"/>
      <c r="E142" s="204"/>
      <c r="F142" s="225" t="s">
        <v>4408</v>
      </c>
      <c r="G142" s="204"/>
      <c r="H142" s="204" t="s">
        <v>4466</v>
      </c>
      <c r="I142" s="204" t="s">
        <v>4443</v>
      </c>
      <c r="J142" s="204"/>
      <c r="K142" s="248"/>
    </row>
    <row r="143" spans="2:11" ht="15" customHeight="1">
      <c r="B143" s="249"/>
      <c r="C143" s="250"/>
      <c r="D143" s="250"/>
      <c r="E143" s="250"/>
      <c r="F143" s="250"/>
      <c r="G143" s="250"/>
      <c r="H143" s="250"/>
      <c r="I143" s="250"/>
      <c r="J143" s="250"/>
      <c r="K143" s="251"/>
    </row>
    <row r="144" spans="2:11" ht="18.75" customHeight="1">
      <c r="B144" s="236"/>
      <c r="C144" s="236"/>
      <c r="D144" s="236"/>
      <c r="E144" s="236"/>
      <c r="F144" s="237"/>
      <c r="G144" s="236"/>
      <c r="H144" s="236"/>
      <c r="I144" s="236"/>
      <c r="J144" s="236"/>
      <c r="K144" s="236"/>
    </row>
    <row r="145" spans="2:11" ht="18.75" customHeight="1">
      <c r="B145" s="211"/>
      <c r="C145" s="211"/>
      <c r="D145" s="211"/>
      <c r="E145" s="211"/>
      <c r="F145" s="211"/>
      <c r="G145" s="211"/>
      <c r="H145" s="211"/>
      <c r="I145" s="211"/>
      <c r="J145" s="211"/>
      <c r="K145" s="211"/>
    </row>
    <row r="146" spans="2:11" ht="7.5" customHeight="1">
      <c r="B146" s="212"/>
      <c r="C146" s="213"/>
      <c r="D146" s="213"/>
      <c r="E146" s="213"/>
      <c r="F146" s="213"/>
      <c r="G146" s="213"/>
      <c r="H146" s="213"/>
      <c r="I146" s="213"/>
      <c r="J146" s="213"/>
      <c r="K146" s="214"/>
    </row>
    <row r="147" spans="2:11" ht="45" customHeight="1">
      <c r="B147" s="215"/>
      <c r="C147" s="323" t="s">
        <v>4467</v>
      </c>
      <c r="D147" s="323"/>
      <c r="E147" s="323"/>
      <c r="F147" s="323"/>
      <c r="G147" s="323"/>
      <c r="H147" s="323"/>
      <c r="I147" s="323"/>
      <c r="J147" s="323"/>
      <c r="K147" s="216"/>
    </row>
    <row r="148" spans="2:11" ht="17.25" customHeight="1">
      <c r="B148" s="215"/>
      <c r="C148" s="217" t="s">
        <v>4402</v>
      </c>
      <c r="D148" s="217"/>
      <c r="E148" s="217"/>
      <c r="F148" s="217" t="s">
        <v>4403</v>
      </c>
      <c r="G148" s="218"/>
      <c r="H148" s="217" t="s">
        <v>59</v>
      </c>
      <c r="I148" s="217" t="s">
        <v>62</v>
      </c>
      <c r="J148" s="217" t="s">
        <v>4404</v>
      </c>
      <c r="K148" s="216"/>
    </row>
    <row r="149" spans="2:11" ht="17.25" customHeight="1">
      <c r="B149" s="215"/>
      <c r="C149" s="219" t="s">
        <v>4405</v>
      </c>
      <c r="D149" s="219"/>
      <c r="E149" s="219"/>
      <c r="F149" s="220" t="s">
        <v>4406</v>
      </c>
      <c r="G149" s="221"/>
      <c r="H149" s="219"/>
      <c r="I149" s="219"/>
      <c r="J149" s="219" t="s">
        <v>4407</v>
      </c>
      <c r="K149" s="216"/>
    </row>
    <row r="150" spans="2:11" ht="5.25" customHeight="1">
      <c r="B150" s="227"/>
      <c r="C150" s="222"/>
      <c r="D150" s="222"/>
      <c r="E150" s="222"/>
      <c r="F150" s="222"/>
      <c r="G150" s="223"/>
      <c r="H150" s="222"/>
      <c r="I150" s="222"/>
      <c r="J150" s="222"/>
      <c r="K150" s="248"/>
    </row>
    <row r="151" spans="2:11" ht="15" customHeight="1">
      <c r="B151" s="227"/>
      <c r="C151" s="252" t="s">
        <v>4411</v>
      </c>
      <c r="D151" s="204"/>
      <c r="E151" s="204"/>
      <c r="F151" s="253" t="s">
        <v>4408</v>
      </c>
      <c r="G151" s="204"/>
      <c r="H151" s="252" t="s">
        <v>4448</v>
      </c>
      <c r="I151" s="252" t="s">
        <v>4410</v>
      </c>
      <c r="J151" s="252">
        <v>120</v>
      </c>
      <c r="K151" s="248"/>
    </row>
    <row r="152" spans="2:11" ht="15" customHeight="1">
      <c r="B152" s="227"/>
      <c r="C152" s="252" t="s">
        <v>4457</v>
      </c>
      <c r="D152" s="204"/>
      <c r="E152" s="204"/>
      <c r="F152" s="253" t="s">
        <v>4408</v>
      </c>
      <c r="G152" s="204"/>
      <c r="H152" s="252" t="s">
        <v>4468</v>
      </c>
      <c r="I152" s="252" t="s">
        <v>4410</v>
      </c>
      <c r="J152" s="252" t="s">
        <v>4459</v>
      </c>
      <c r="K152" s="248"/>
    </row>
    <row r="153" spans="2:11" ht="15" customHeight="1">
      <c r="B153" s="227"/>
      <c r="C153" s="252" t="s">
        <v>4356</v>
      </c>
      <c r="D153" s="204"/>
      <c r="E153" s="204"/>
      <c r="F153" s="253" t="s">
        <v>4408</v>
      </c>
      <c r="G153" s="204"/>
      <c r="H153" s="252" t="s">
        <v>4469</v>
      </c>
      <c r="I153" s="252" t="s">
        <v>4410</v>
      </c>
      <c r="J153" s="252" t="s">
        <v>4459</v>
      </c>
      <c r="K153" s="248"/>
    </row>
    <row r="154" spans="2:11" ht="15" customHeight="1">
      <c r="B154" s="227"/>
      <c r="C154" s="252" t="s">
        <v>4413</v>
      </c>
      <c r="D154" s="204"/>
      <c r="E154" s="204"/>
      <c r="F154" s="253" t="s">
        <v>4414</v>
      </c>
      <c r="G154" s="204"/>
      <c r="H154" s="252" t="s">
        <v>4448</v>
      </c>
      <c r="I154" s="252" t="s">
        <v>4410</v>
      </c>
      <c r="J154" s="252">
        <v>50</v>
      </c>
      <c r="K154" s="248"/>
    </row>
    <row r="155" spans="2:11" ht="15" customHeight="1">
      <c r="B155" s="227"/>
      <c r="C155" s="252" t="s">
        <v>4416</v>
      </c>
      <c r="D155" s="204"/>
      <c r="E155" s="204"/>
      <c r="F155" s="253" t="s">
        <v>4408</v>
      </c>
      <c r="G155" s="204"/>
      <c r="H155" s="252" t="s">
        <v>4448</v>
      </c>
      <c r="I155" s="252" t="s">
        <v>4418</v>
      </c>
      <c r="J155" s="252"/>
      <c r="K155" s="248"/>
    </row>
    <row r="156" spans="2:11" ht="15" customHeight="1">
      <c r="B156" s="227"/>
      <c r="C156" s="252" t="s">
        <v>4427</v>
      </c>
      <c r="D156" s="204"/>
      <c r="E156" s="204"/>
      <c r="F156" s="253" t="s">
        <v>4414</v>
      </c>
      <c r="G156" s="204"/>
      <c r="H156" s="252" t="s">
        <v>4448</v>
      </c>
      <c r="I156" s="252" t="s">
        <v>4410</v>
      </c>
      <c r="J156" s="252">
        <v>50</v>
      </c>
      <c r="K156" s="248"/>
    </row>
    <row r="157" spans="2:11" ht="15" customHeight="1">
      <c r="B157" s="227"/>
      <c r="C157" s="252" t="s">
        <v>4435</v>
      </c>
      <c r="D157" s="204"/>
      <c r="E157" s="204"/>
      <c r="F157" s="253" t="s">
        <v>4414</v>
      </c>
      <c r="G157" s="204"/>
      <c r="H157" s="252" t="s">
        <v>4448</v>
      </c>
      <c r="I157" s="252" t="s">
        <v>4410</v>
      </c>
      <c r="J157" s="252">
        <v>50</v>
      </c>
      <c r="K157" s="248"/>
    </row>
    <row r="158" spans="2:11" ht="15" customHeight="1">
      <c r="B158" s="227"/>
      <c r="C158" s="252" t="s">
        <v>4433</v>
      </c>
      <c r="D158" s="204"/>
      <c r="E158" s="204"/>
      <c r="F158" s="253" t="s">
        <v>4414</v>
      </c>
      <c r="G158" s="204"/>
      <c r="H158" s="252" t="s">
        <v>4448</v>
      </c>
      <c r="I158" s="252" t="s">
        <v>4410</v>
      </c>
      <c r="J158" s="252">
        <v>50</v>
      </c>
      <c r="K158" s="248"/>
    </row>
    <row r="159" spans="2:11" ht="15" customHeight="1">
      <c r="B159" s="227"/>
      <c r="C159" s="252" t="s">
        <v>150</v>
      </c>
      <c r="D159" s="204"/>
      <c r="E159" s="204"/>
      <c r="F159" s="253" t="s">
        <v>4408</v>
      </c>
      <c r="G159" s="204"/>
      <c r="H159" s="252" t="s">
        <v>4470</v>
      </c>
      <c r="I159" s="252" t="s">
        <v>4410</v>
      </c>
      <c r="J159" s="252" t="s">
        <v>4471</v>
      </c>
      <c r="K159" s="248"/>
    </row>
    <row r="160" spans="2:11" ht="15" customHeight="1">
      <c r="B160" s="227"/>
      <c r="C160" s="252" t="s">
        <v>4472</v>
      </c>
      <c r="D160" s="204"/>
      <c r="E160" s="204"/>
      <c r="F160" s="253" t="s">
        <v>4408</v>
      </c>
      <c r="G160" s="204"/>
      <c r="H160" s="252" t="s">
        <v>4473</v>
      </c>
      <c r="I160" s="252" t="s">
        <v>4443</v>
      </c>
      <c r="J160" s="252"/>
      <c r="K160" s="248"/>
    </row>
    <row r="161" spans="2:11" ht="15" customHeight="1">
      <c r="B161" s="254"/>
      <c r="C161" s="234"/>
      <c r="D161" s="234"/>
      <c r="E161" s="234"/>
      <c r="F161" s="234"/>
      <c r="G161" s="234"/>
      <c r="H161" s="234"/>
      <c r="I161" s="234"/>
      <c r="J161" s="234"/>
      <c r="K161" s="255"/>
    </row>
    <row r="162" spans="2:11" ht="18.75" customHeight="1">
      <c r="B162" s="236"/>
      <c r="C162" s="246"/>
      <c r="D162" s="246"/>
      <c r="E162" s="246"/>
      <c r="F162" s="256"/>
      <c r="G162" s="246"/>
      <c r="H162" s="246"/>
      <c r="I162" s="246"/>
      <c r="J162" s="246"/>
      <c r="K162" s="236"/>
    </row>
    <row r="163" spans="2:11" ht="18.75" customHeight="1">
      <c r="B163" s="211"/>
      <c r="C163" s="211"/>
      <c r="D163" s="211"/>
      <c r="E163" s="211"/>
      <c r="F163" s="211"/>
      <c r="G163" s="211"/>
      <c r="H163" s="211"/>
      <c r="I163" s="211"/>
      <c r="J163" s="211"/>
      <c r="K163" s="211"/>
    </row>
    <row r="164" spans="2:11" ht="7.5" customHeight="1">
      <c r="B164" s="193"/>
      <c r="C164" s="194"/>
      <c r="D164" s="194"/>
      <c r="E164" s="194"/>
      <c r="F164" s="194"/>
      <c r="G164" s="194"/>
      <c r="H164" s="194"/>
      <c r="I164" s="194"/>
      <c r="J164" s="194"/>
      <c r="K164" s="195"/>
    </row>
    <row r="165" spans="2:11" ht="45" customHeight="1">
      <c r="B165" s="196"/>
      <c r="C165" s="321" t="s">
        <v>4474</v>
      </c>
      <c r="D165" s="321"/>
      <c r="E165" s="321"/>
      <c r="F165" s="321"/>
      <c r="G165" s="321"/>
      <c r="H165" s="321"/>
      <c r="I165" s="321"/>
      <c r="J165" s="321"/>
      <c r="K165" s="197"/>
    </row>
    <row r="166" spans="2:11" ht="17.25" customHeight="1">
      <c r="B166" s="196"/>
      <c r="C166" s="217" t="s">
        <v>4402</v>
      </c>
      <c r="D166" s="217"/>
      <c r="E166" s="217"/>
      <c r="F166" s="217" t="s">
        <v>4403</v>
      </c>
      <c r="G166" s="257"/>
      <c r="H166" s="258" t="s">
        <v>59</v>
      </c>
      <c r="I166" s="258" t="s">
        <v>62</v>
      </c>
      <c r="J166" s="217" t="s">
        <v>4404</v>
      </c>
      <c r="K166" s="197"/>
    </row>
    <row r="167" spans="2:11" ht="17.25" customHeight="1">
      <c r="B167" s="198"/>
      <c r="C167" s="219" t="s">
        <v>4405</v>
      </c>
      <c r="D167" s="219"/>
      <c r="E167" s="219"/>
      <c r="F167" s="220" t="s">
        <v>4406</v>
      </c>
      <c r="G167" s="259"/>
      <c r="H167" s="260"/>
      <c r="I167" s="260"/>
      <c r="J167" s="219" t="s">
        <v>4407</v>
      </c>
      <c r="K167" s="199"/>
    </row>
    <row r="168" spans="2:11" ht="5.25" customHeight="1">
      <c r="B168" s="227"/>
      <c r="C168" s="222"/>
      <c r="D168" s="222"/>
      <c r="E168" s="222"/>
      <c r="F168" s="222"/>
      <c r="G168" s="223"/>
      <c r="H168" s="222"/>
      <c r="I168" s="222"/>
      <c r="J168" s="222"/>
      <c r="K168" s="248"/>
    </row>
    <row r="169" spans="2:11" ht="15" customHeight="1">
      <c r="B169" s="227"/>
      <c r="C169" s="204" t="s">
        <v>4411</v>
      </c>
      <c r="D169" s="204"/>
      <c r="E169" s="204"/>
      <c r="F169" s="225" t="s">
        <v>4408</v>
      </c>
      <c r="G169" s="204"/>
      <c r="H169" s="204" t="s">
        <v>4448</v>
      </c>
      <c r="I169" s="204" t="s">
        <v>4410</v>
      </c>
      <c r="J169" s="204">
        <v>120</v>
      </c>
      <c r="K169" s="248"/>
    </row>
    <row r="170" spans="2:11" ht="15" customHeight="1">
      <c r="B170" s="227"/>
      <c r="C170" s="204" t="s">
        <v>4457</v>
      </c>
      <c r="D170" s="204"/>
      <c r="E170" s="204"/>
      <c r="F170" s="225" t="s">
        <v>4408</v>
      </c>
      <c r="G170" s="204"/>
      <c r="H170" s="204" t="s">
        <v>4458</v>
      </c>
      <c r="I170" s="204" t="s">
        <v>4410</v>
      </c>
      <c r="J170" s="204" t="s">
        <v>4459</v>
      </c>
      <c r="K170" s="248"/>
    </row>
    <row r="171" spans="2:11" ht="15" customHeight="1">
      <c r="B171" s="227"/>
      <c r="C171" s="204" t="s">
        <v>4356</v>
      </c>
      <c r="D171" s="204"/>
      <c r="E171" s="204"/>
      <c r="F171" s="225" t="s">
        <v>4408</v>
      </c>
      <c r="G171" s="204"/>
      <c r="H171" s="204" t="s">
        <v>4475</v>
      </c>
      <c r="I171" s="204" t="s">
        <v>4410</v>
      </c>
      <c r="J171" s="204" t="s">
        <v>4459</v>
      </c>
      <c r="K171" s="248"/>
    </row>
    <row r="172" spans="2:11" ht="15" customHeight="1">
      <c r="B172" s="227"/>
      <c r="C172" s="204" t="s">
        <v>4413</v>
      </c>
      <c r="D172" s="204"/>
      <c r="E172" s="204"/>
      <c r="F172" s="225" t="s">
        <v>4414</v>
      </c>
      <c r="G172" s="204"/>
      <c r="H172" s="204" t="s">
        <v>4475</v>
      </c>
      <c r="I172" s="204" t="s">
        <v>4410</v>
      </c>
      <c r="J172" s="204">
        <v>50</v>
      </c>
      <c r="K172" s="248"/>
    </row>
    <row r="173" spans="2:11" ht="15" customHeight="1">
      <c r="B173" s="227"/>
      <c r="C173" s="204" t="s">
        <v>4416</v>
      </c>
      <c r="D173" s="204"/>
      <c r="E173" s="204"/>
      <c r="F173" s="225" t="s">
        <v>4408</v>
      </c>
      <c r="G173" s="204"/>
      <c r="H173" s="204" t="s">
        <v>4475</v>
      </c>
      <c r="I173" s="204" t="s">
        <v>4418</v>
      </c>
      <c r="J173" s="204"/>
      <c r="K173" s="248"/>
    </row>
    <row r="174" spans="2:11" ht="15" customHeight="1">
      <c r="B174" s="227"/>
      <c r="C174" s="204" t="s">
        <v>4427</v>
      </c>
      <c r="D174" s="204"/>
      <c r="E174" s="204"/>
      <c r="F174" s="225" t="s">
        <v>4414</v>
      </c>
      <c r="G174" s="204"/>
      <c r="H174" s="204" t="s">
        <v>4475</v>
      </c>
      <c r="I174" s="204" t="s">
        <v>4410</v>
      </c>
      <c r="J174" s="204">
        <v>50</v>
      </c>
      <c r="K174" s="248"/>
    </row>
    <row r="175" spans="2:11" ht="15" customHeight="1">
      <c r="B175" s="227"/>
      <c r="C175" s="204" t="s">
        <v>4435</v>
      </c>
      <c r="D175" s="204"/>
      <c r="E175" s="204"/>
      <c r="F175" s="225" t="s">
        <v>4414</v>
      </c>
      <c r="G175" s="204"/>
      <c r="H175" s="204" t="s">
        <v>4475</v>
      </c>
      <c r="I175" s="204" t="s">
        <v>4410</v>
      </c>
      <c r="J175" s="204">
        <v>50</v>
      </c>
      <c r="K175" s="248"/>
    </row>
    <row r="176" spans="2:11" ht="15" customHeight="1">
      <c r="B176" s="227"/>
      <c r="C176" s="204" t="s">
        <v>4433</v>
      </c>
      <c r="D176" s="204"/>
      <c r="E176" s="204"/>
      <c r="F176" s="225" t="s">
        <v>4414</v>
      </c>
      <c r="G176" s="204"/>
      <c r="H176" s="204" t="s">
        <v>4475</v>
      </c>
      <c r="I176" s="204" t="s">
        <v>4410</v>
      </c>
      <c r="J176" s="204">
        <v>50</v>
      </c>
      <c r="K176" s="248"/>
    </row>
    <row r="177" spans="2:11" ht="15" customHeight="1">
      <c r="B177" s="227"/>
      <c r="C177" s="204" t="s">
        <v>163</v>
      </c>
      <c r="D177" s="204"/>
      <c r="E177" s="204"/>
      <c r="F177" s="225" t="s">
        <v>4408</v>
      </c>
      <c r="G177" s="204"/>
      <c r="H177" s="204" t="s">
        <v>4476</v>
      </c>
      <c r="I177" s="204" t="s">
        <v>4477</v>
      </c>
      <c r="J177" s="204"/>
      <c r="K177" s="248"/>
    </row>
    <row r="178" spans="2:11" ht="15" customHeight="1">
      <c r="B178" s="227"/>
      <c r="C178" s="204" t="s">
        <v>62</v>
      </c>
      <c r="D178" s="204"/>
      <c r="E178" s="204"/>
      <c r="F178" s="225" t="s">
        <v>4408</v>
      </c>
      <c r="G178" s="204"/>
      <c r="H178" s="204" t="s">
        <v>4478</v>
      </c>
      <c r="I178" s="204" t="s">
        <v>4479</v>
      </c>
      <c r="J178" s="204">
        <v>1</v>
      </c>
      <c r="K178" s="248"/>
    </row>
    <row r="179" spans="2:11" ht="15" customHeight="1">
      <c r="B179" s="227"/>
      <c r="C179" s="204" t="s">
        <v>58</v>
      </c>
      <c r="D179" s="204"/>
      <c r="E179" s="204"/>
      <c r="F179" s="225" t="s">
        <v>4408</v>
      </c>
      <c r="G179" s="204"/>
      <c r="H179" s="204" t="s">
        <v>4480</v>
      </c>
      <c r="I179" s="204" t="s">
        <v>4410</v>
      </c>
      <c r="J179" s="204">
        <v>20</v>
      </c>
      <c r="K179" s="248"/>
    </row>
    <row r="180" spans="2:11" ht="15" customHeight="1">
      <c r="B180" s="227"/>
      <c r="C180" s="204" t="s">
        <v>59</v>
      </c>
      <c r="D180" s="204"/>
      <c r="E180" s="204"/>
      <c r="F180" s="225" t="s">
        <v>4408</v>
      </c>
      <c r="G180" s="204"/>
      <c r="H180" s="204" t="s">
        <v>4481</v>
      </c>
      <c r="I180" s="204" t="s">
        <v>4410</v>
      </c>
      <c r="J180" s="204">
        <v>255</v>
      </c>
      <c r="K180" s="248"/>
    </row>
    <row r="181" spans="2:11" ht="15" customHeight="1">
      <c r="B181" s="227"/>
      <c r="C181" s="204" t="s">
        <v>164</v>
      </c>
      <c r="D181" s="204"/>
      <c r="E181" s="204"/>
      <c r="F181" s="225" t="s">
        <v>4408</v>
      </c>
      <c r="G181" s="204"/>
      <c r="H181" s="204" t="s">
        <v>4372</v>
      </c>
      <c r="I181" s="204" t="s">
        <v>4410</v>
      </c>
      <c r="J181" s="204">
        <v>10</v>
      </c>
      <c r="K181" s="248"/>
    </row>
    <row r="182" spans="2:11" ht="15" customHeight="1">
      <c r="B182" s="227"/>
      <c r="C182" s="204" t="s">
        <v>165</v>
      </c>
      <c r="D182" s="204"/>
      <c r="E182" s="204"/>
      <c r="F182" s="225" t="s">
        <v>4408</v>
      </c>
      <c r="G182" s="204"/>
      <c r="H182" s="204" t="s">
        <v>4482</v>
      </c>
      <c r="I182" s="204" t="s">
        <v>4443</v>
      </c>
      <c r="J182" s="204"/>
      <c r="K182" s="248"/>
    </row>
    <row r="183" spans="2:11" ht="15" customHeight="1">
      <c r="B183" s="227"/>
      <c r="C183" s="204" t="s">
        <v>4483</v>
      </c>
      <c r="D183" s="204"/>
      <c r="E183" s="204"/>
      <c r="F183" s="225" t="s">
        <v>4408</v>
      </c>
      <c r="G183" s="204"/>
      <c r="H183" s="204" t="s">
        <v>4484</v>
      </c>
      <c r="I183" s="204" t="s">
        <v>4443</v>
      </c>
      <c r="J183" s="204"/>
      <c r="K183" s="248"/>
    </row>
    <row r="184" spans="2:11" ht="15" customHeight="1">
      <c r="B184" s="227"/>
      <c r="C184" s="204" t="s">
        <v>4472</v>
      </c>
      <c r="D184" s="204"/>
      <c r="E184" s="204"/>
      <c r="F184" s="225" t="s">
        <v>4408</v>
      </c>
      <c r="G184" s="204"/>
      <c r="H184" s="204" t="s">
        <v>4485</v>
      </c>
      <c r="I184" s="204" t="s">
        <v>4443</v>
      </c>
      <c r="J184" s="204"/>
      <c r="K184" s="248"/>
    </row>
    <row r="185" spans="2:11" ht="15" customHeight="1">
      <c r="B185" s="227"/>
      <c r="C185" s="204" t="s">
        <v>167</v>
      </c>
      <c r="D185" s="204"/>
      <c r="E185" s="204"/>
      <c r="F185" s="225" t="s">
        <v>4414</v>
      </c>
      <c r="G185" s="204"/>
      <c r="H185" s="204" t="s">
        <v>4486</v>
      </c>
      <c r="I185" s="204" t="s">
        <v>4410</v>
      </c>
      <c r="J185" s="204">
        <v>50</v>
      </c>
      <c r="K185" s="248"/>
    </row>
    <row r="186" spans="2:11" ht="15" customHeight="1">
      <c r="B186" s="227"/>
      <c r="C186" s="204" t="s">
        <v>4487</v>
      </c>
      <c r="D186" s="204"/>
      <c r="E186" s="204"/>
      <c r="F186" s="225" t="s">
        <v>4414</v>
      </c>
      <c r="G186" s="204"/>
      <c r="H186" s="204" t="s">
        <v>4488</v>
      </c>
      <c r="I186" s="204" t="s">
        <v>4489</v>
      </c>
      <c r="J186" s="204"/>
      <c r="K186" s="248"/>
    </row>
    <row r="187" spans="2:11" ht="15" customHeight="1">
      <c r="B187" s="227"/>
      <c r="C187" s="204" t="s">
        <v>4490</v>
      </c>
      <c r="D187" s="204"/>
      <c r="E187" s="204"/>
      <c r="F187" s="225" t="s">
        <v>4414</v>
      </c>
      <c r="G187" s="204"/>
      <c r="H187" s="204" t="s">
        <v>4491</v>
      </c>
      <c r="I187" s="204" t="s">
        <v>4489</v>
      </c>
      <c r="J187" s="204"/>
      <c r="K187" s="248"/>
    </row>
    <row r="188" spans="2:11" ht="15" customHeight="1">
      <c r="B188" s="227"/>
      <c r="C188" s="204" t="s">
        <v>4492</v>
      </c>
      <c r="D188" s="204"/>
      <c r="E188" s="204"/>
      <c r="F188" s="225" t="s">
        <v>4414</v>
      </c>
      <c r="G188" s="204"/>
      <c r="H188" s="204" t="s">
        <v>4493</v>
      </c>
      <c r="I188" s="204" t="s">
        <v>4489</v>
      </c>
      <c r="J188" s="204"/>
      <c r="K188" s="248"/>
    </row>
    <row r="189" spans="2:11" ht="15" customHeight="1">
      <c r="B189" s="227"/>
      <c r="C189" s="261" t="s">
        <v>4494</v>
      </c>
      <c r="D189" s="204"/>
      <c r="E189" s="204"/>
      <c r="F189" s="225" t="s">
        <v>4414</v>
      </c>
      <c r="G189" s="204"/>
      <c r="H189" s="204" t="s">
        <v>4495</v>
      </c>
      <c r="I189" s="204" t="s">
        <v>4496</v>
      </c>
      <c r="J189" s="262" t="s">
        <v>4497</v>
      </c>
      <c r="K189" s="248"/>
    </row>
    <row r="190" spans="2:11" ht="15" customHeight="1">
      <c r="B190" s="263"/>
      <c r="C190" s="264" t="s">
        <v>4498</v>
      </c>
      <c r="D190" s="265"/>
      <c r="E190" s="265"/>
      <c r="F190" s="266" t="s">
        <v>4414</v>
      </c>
      <c r="G190" s="265"/>
      <c r="H190" s="265" t="s">
        <v>4499</v>
      </c>
      <c r="I190" s="265" t="s">
        <v>4496</v>
      </c>
      <c r="J190" s="267" t="s">
        <v>4497</v>
      </c>
      <c r="K190" s="268"/>
    </row>
    <row r="191" spans="2:11" ht="15" customHeight="1">
      <c r="B191" s="227"/>
      <c r="C191" s="261" t="s">
        <v>47</v>
      </c>
      <c r="D191" s="204"/>
      <c r="E191" s="204"/>
      <c r="F191" s="225" t="s">
        <v>4408</v>
      </c>
      <c r="G191" s="204"/>
      <c r="H191" s="201" t="s">
        <v>4500</v>
      </c>
      <c r="I191" s="204" t="s">
        <v>4501</v>
      </c>
      <c r="J191" s="204"/>
      <c r="K191" s="248"/>
    </row>
    <row r="192" spans="2:11" ht="15" customHeight="1">
      <c r="B192" s="227"/>
      <c r="C192" s="261" t="s">
        <v>4502</v>
      </c>
      <c r="D192" s="204"/>
      <c r="E192" s="204"/>
      <c r="F192" s="225" t="s">
        <v>4408</v>
      </c>
      <c r="G192" s="204"/>
      <c r="H192" s="204" t="s">
        <v>4503</v>
      </c>
      <c r="I192" s="204" t="s">
        <v>4443</v>
      </c>
      <c r="J192" s="204"/>
      <c r="K192" s="248"/>
    </row>
    <row r="193" spans="2:11" ht="15" customHeight="1">
      <c r="B193" s="227"/>
      <c r="C193" s="261" t="s">
        <v>4504</v>
      </c>
      <c r="D193" s="204"/>
      <c r="E193" s="204"/>
      <c r="F193" s="225" t="s">
        <v>4408</v>
      </c>
      <c r="G193" s="204"/>
      <c r="H193" s="204" t="s">
        <v>4505</v>
      </c>
      <c r="I193" s="204" t="s">
        <v>4443</v>
      </c>
      <c r="J193" s="204"/>
      <c r="K193" s="248"/>
    </row>
    <row r="194" spans="2:11" ht="15" customHeight="1">
      <c r="B194" s="227"/>
      <c r="C194" s="261" t="s">
        <v>4506</v>
      </c>
      <c r="D194" s="204"/>
      <c r="E194" s="204"/>
      <c r="F194" s="225" t="s">
        <v>4414</v>
      </c>
      <c r="G194" s="204"/>
      <c r="H194" s="204" t="s">
        <v>4507</v>
      </c>
      <c r="I194" s="204" t="s">
        <v>4443</v>
      </c>
      <c r="J194" s="204"/>
      <c r="K194" s="248"/>
    </row>
    <row r="195" spans="2:11" ht="15" customHeight="1">
      <c r="B195" s="254"/>
      <c r="C195" s="269"/>
      <c r="D195" s="234"/>
      <c r="E195" s="234"/>
      <c r="F195" s="234"/>
      <c r="G195" s="234"/>
      <c r="H195" s="234"/>
      <c r="I195" s="234"/>
      <c r="J195" s="234"/>
      <c r="K195" s="255"/>
    </row>
    <row r="196" spans="2:11" ht="18.75" customHeight="1">
      <c r="B196" s="236"/>
      <c r="C196" s="246"/>
      <c r="D196" s="246"/>
      <c r="E196" s="246"/>
      <c r="F196" s="256"/>
      <c r="G196" s="246"/>
      <c r="H196" s="246"/>
      <c r="I196" s="246"/>
      <c r="J196" s="246"/>
      <c r="K196" s="236"/>
    </row>
    <row r="197" spans="2:11" ht="18.75" customHeight="1">
      <c r="B197" s="236"/>
      <c r="C197" s="246"/>
      <c r="D197" s="246"/>
      <c r="E197" s="246"/>
      <c r="F197" s="256"/>
      <c r="G197" s="246"/>
      <c r="H197" s="246"/>
      <c r="I197" s="246"/>
      <c r="J197" s="246"/>
      <c r="K197" s="236"/>
    </row>
    <row r="198" spans="2:11" ht="18.75" customHeight="1">
      <c r="B198" s="211"/>
      <c r="C198" s="211"/>
      <c r="D198" s="211"/>
      <c r="E198" s="211"/>
      <c r="F198" s="211"/>
      <c r="G198" s="211"/>
      <c r="H198" s="211"/>
      <c r="I198" s="211"/>
      <c r="J198" s="211"/>
      <c r="K198" s="211"/>
    </row>
    <row r="199" spans="2:11" ht="13.5">
      <c r="B199" s="193"/>
      <c r="C199" s="194"/>
      <c r="D199" s="194"/>
      <c r="E199" s="194"/>
      <c r="F199" s="194"/>
      <c r="G199" s="194"/>
      <c r="H199" s="194"/>
      <c r="I199" s="194"/>
      <c r="J199" s="194"/>
      <c r="K199" s="195"/>
    </row>
    <row r="200" spans="2:11" ht="21">
      <c r="B200" s="196"/>
      <c r="C200" s="321" t="s">
        <v>4508</v>
      </c>
      <c r="D200" s="321"/>
      <c r="E200" s="321"/>
      <c r="F200" s="321"/>
      <c r="G200" s="321"/>
      <c r="H200" s="321"/>
      <c r="I200" s="321"/>
      <c r="J200" s="321"/>
      <c r="K200" s="197"/>
    </row>
    <row r="201" spans="2:11" ht="25.5" customHeight="1">
      <c r="B201" s="196"/>
      <c r="C201" s="270" t="s">
        <v>4509</v>
      </c>
      <c r="D201" s="270"/>
      <c r="E201" s="270"/>
      <c r="F201" s="270" t="s">
        <v>4510</v>
      </c>
      <c r="G201" s="271"/>
      <c r="H201" s="324" t="s">
        <v>4511</v>
      </c>
      <c r="I201" s="324"/>
      <c r="J201" s="324"/>
      <c r="K201" s="197"/>
    </row>
    <row r="202" spans="2:11" ht="5.25" customHeight="1">
      <c r="B202" s="227"/>
      <c r="C202" s="222"/>
      <c r="D202" s="222"/>
      <c r="E202" s="222"/>
      <c r="F202" s="222"/>
      <c r="G202" s="246"/>
      <c r="H202" s="222"/>
      <c r="I202" s="222"/>
      <c r="J202" s="222"/>
      <c r="K202" s="248"/>
    </row>
    <row r="203" spans="2:11" ht="15" customHeight="1">
      <c r="B203" s="227"/>
      <c r="C203" s="204" t="s">
        <v>4501</v>
      </c>
      <c r="D203" s="204"/>
      <c r="E203" s="204"/>
      <c r="F203" s="225" t="s">
        <v>48</v>
      </c>
      <c r="G203" s="204"/>
      <c r="H203" s="325" t="s">
        <v>4512</v>
      </c>
      <c r="I203" s="325"/>
      <c r="J203" s="325"/>
      <c r="K203" s="248"/>
    </row>
    <row r="204" spans="2:11" ht="15" customHeight="1">
      <c r="B204" s="227"/>
      <c r="C204" s="204"/>
      <c r="D204" s="204"/>
      <c r="E204" s="204"/>
      <c r="F204" s="225" t="s">
        <v>49</v>
      </c>
      <c r="G204" s="204"/>
      <c r="H204" s="325" t="s">
        <v>4513</v>
      </c>
      <c r="I204" s="325"/>
      <c r="J204" s="325"/>
      <c r="K204" s="248"/>
    </row>
    <row r="205" spans="2:11" ht="15" customHeight="1">
      <c r="B205" s="227"/>
      <c r="C205" s="204"/>
      <c r="D205" s="204"/>
      <c r="E205" s="204"/>
      <c r="F205" s="225" t="s">
        <v>52</v>
      </c>
      <c r="G205" s="204"/>
      <c r="H205" s="325" t="s">
        <v>4514</v>
      </c>
      <c r="I205" s="325"/>
      <c r="J205" s="325"/>
      <c r="K205" s="248"/>
    </row>
    <row r="206" spans="2:11" ht="15" customHeight="1">
      <c r="B206" s="227"/>
      <c r="C206" s="204"/>
      <c r="D206" s="204"/>
      <c r="E206" s="204"/>
      <c r="F206" s="225" t="s">
        <v>50</v>
      </c>
      <c r="G206" s="204"/>
      <c r="H206" s="325" t="s">
        <v>4515</v>
      </c>
      <c r="I206" s="325"/>
      <c r="J206" s="325"/>
      <c r="K206" s="248"/>
    </row>
    <row r="207" spans="2:11" ht="15" customHeight="1">
      <c r="B207" s="227"/>
      <c r="C207" s="204"/>
      <c r="D207" s="204"/>
      <c r="E207" s="204"/>
      <c r="F207" s="225" t="s">
        <v>51</v>
      </c>
      <c r="G207" s="204"/>
      <c r="H207" s="325" t="s">
        <v>4516</v>
      </c>
      <c r="I207" s="325"/>
      <c r="J207" s="325"/>
      <c r="K207" s="248"/>
    </row>
    <row r="208" spans="2:11" ht="15" customHeight="1">
      <c r="B208" s="227"/>
      <c r="C208" s="204"/>
      <c r="D208" s="204"/>
      <c r="E208" s="204"/>
      <c r="F208" s="225"/>
      <c r="G208" s="204"/>
      <c r="H208" s="204"/>
      <c r="I208" s="204"/>
      <c r="J208" s="204"/>
      <c r="K208" s="248"/>
    </row>
    <row r="209" spans="2:11" ht="15" customHeight="1">
      <c r="B209" s="227"/>
      <c r="C209" s="204" t="s">
        <v>4455</v>
      </c>
      <c r="D209" s="204"/>
      <c r="E209" s="204"/>
      <c r="F209" s="225" t="s">
        <v>84</v>
      </c>
      <c r="G209" s="204"/>
      <c r="H209" s="325" t="s">
        <v>4517</v>
      </c>
      <c r="I209" s="325"/>
      <c r="J209" s="325"/>
      <c r="K209" s="248"/>
    </row>
    <row r="210" spans="2:11" ht="15" customHeight="1">
      <c r="B210" s="227"/>
      <c r="C210" s="204"/>
      <c r="D210" s="204"/>
      <c r="E210" s="204"/>
      <c r="F210" s="225" t="s">
        <v>4351</v>
      </c>
      <c r="G210" s="204"/>
      <c r="H210" s="325" t="s">
        <v>4352</v>
      </c>
      <c r="I210" s="325"/>
      <c r="J210" s="325"/>
      <c r="K210" s="248"/>
    </row>
    <row r="211" spans="2:11" ht="15" customHeight="1">
      <c r="B211" s="227"/>
      <c r="C211" s="204"/>
      <c r="D211" s="204"/>
      <c r="E211" s="204"/>
      <c r="F211" s="225" t="s">
        <v>4349</v>
      </c>
      <c r="G211" s="204"/>
      <c r="H211" s="325" t="s">
        <v>4518</v>
      </c>
      <c r="I211" s="325"/>
      <c r="J211" s="325"/>
      <c r="K211" s="248"/>
    </row>
    <row r="212" spans="2:11" ht="15" customHeight="1">
      <c r="B212" s="272"/>
      <c r="C212" s="204"/>
      <c r="D212" s="204"/>
      <c r="E212" s="204"/>
      <c r="F212" s="225" t="s">
        <v>142</v>
      </c>
      <c r="G212" s="261"/>
      <c r="H212" s="326" t="s">
        <v>4353</v>
      </c>
      <c r="I212" s="326"/>
      <c r="J212" s="326"/>
      <c r="K212" s="273"/>
    </row>
    <row r="213" spans="2:11" ht="15" customHeight="1">
      <c r="B213" s="272"/>
      <c r="C213" s="204"/>
      <c r="D213" s="204"/>
      <c r="E213" s="204"/>
      <c r="F213" s="225" t="s">
        <v>4354</v>
      </c>
      <c r="G213" s="261"/>
      <c r="H213" s="326" t="s">
        <v>4519</v>
      </c>
      <c r="I213" s="326"/>
      <c r="J213" s="326"/>
      <c r="K213" s="273"/>
    </row>
    <row r="214" spans="2:11" ht="15" customHeight="1">
      <c r="B214" s="272"/>
      <c r="C214" s="204"/>
      <c r="D214" s="204"/>
      <c r="E214" s="204"/>
      <c r="F214" s="225"/>
      <c r="G214" s="261"/>
      <c r="H214" s="252"/>
      <c r="I214" s="252"/>
      <c r="J214" s="252"/>
      <c r="K214" s="273"/>
    </row>
    <row r="215" spans="2:11" ht="15" customHeight="1">
      <c r="B215" s="272"/>
      <c r="C215" s="204" t="s">
        <v>4479</v>
      </c>
      <c r="D215" s="204"/>
      <c r="E215" s="204"/>
      <c r="F215" s="225">
        <v>1</v>
      </c>
      <c r="G215" s="261"/>
      <c r="H215" s="326" t="s">
        <v>4520</v>
      </c>
      <c r="I215" s="326"/>
      <c r="J215" s="326"/>
      <c r="K215" s="273"/>
    </row>
    <row r="216" spans="2:11" ht="15" customHeight="1">
      <c r="B216" s="272"/>
      <c r="C216" s="204"/>
      <c r="D216" s="204"/>
      <c r="E216" s="204"/>
      <c r="F216" s="225">
        <v>2</v>
      </c>
      <c r="G216" s="261"/>
      <c r="H216" s="326" t="s">
        <v>4521</v>
      </c>
      <c r="I216" s="326"/>
      <c r="J216" s="326"/>
      <c r="K216" s="273"/>
    </row>
    <row r="217" spans="2:11" ht="15" customHeight="1">
      <c r="B217" s="272"/>
      <c r="C217" s="204"/>
      <c r="D217" s="204"/>
      <c r="E217" s="204"/>
      <c r="F217" s="225">
        <v>3</v>
      </c>
      <c r="G217" s="261"/>
      <c r="H217" s="326" t="s">
        <v>4522</v>
      </c>
      <c r="I217" s="326"/>
      <c r="J217" s="326"/>
      <c r="K217" s="273"/>
    </row>
    <row r="218" spans="2:11" ht="15" customHeight="1">
      <c r="B218" s="272"/>
      <c r="C218" s="204"/>
      <c r="D218" s="204"/>
      <c r="E218" s="204"/>
      <c r="F218" s="225">
        <v>4</v>
      </c>
      <c r="G218" s="261"/>
      <c r="H218" s="326" t="s">
        <v>4523</v>
      </c>
      <c r="I218" s="326"/>
      <c r="J218" s="326"/>
      <c r="K218" s="273"/>
    </row>
    <row r="219" spans="2:11" ht="12.75" customHeight="1">
      <c r="B219" s="274"/>
      <c r="C219" s="275"/>
      <c r="D219" s="275"/>
      <c r="E219" s="275"/>
      <c r="F219" s="275"/>
      <c r="G219" s="275"/>
      <c r="H219" s="275"/>
      <c r="I219" s="275"/>
      <c r="J219" s="275"/>
      <c r="K219" s="276"/>
    </row>
  </sheetData>
  <sheetProtection formatCells="0" formatColumns="0" formatRows="0" insertColumns="0" insertRows="0" insertHyperlinks="0" deleteColumns="0" deleteRows="0" sort="0" autoFilter="0" pivotTables="0"/>
  <mergeCells count="77">
    <mergeCell ref="H217:J217"/>
    <mergeCell ref="H218:J218"/>
    <mergeCell ref="H216:J216"/>
    <mergeCell ref="H213:J213"/>
    <mergeCell ref="H212:J212"/>
    <mergeCell ref="H206:J206"/>
    <mergeCell ref="H207:J207"/>
    <mergeCell ref="H209:J209"/>
    <mergeCell ref="H211:J211"/>
    <mergeCell ref="H215:J215"/>
    <mergeCell ref="H210:J210"/>
    <mergeCell ref="C200:J200"/>
    <mergeCell ref="H201:J201"/>
    <mergeCell ref="H203:J203"/>
    <mergeCell ref="H204:J204"/>
    <mergeCell ref="H205:J205"/>
    <mergeCell ref="C75:J75"/>
    <mergeCell ref="C102:J102"/>
    <mergeCell ref="C122:J122"/>
    <mergeCell ref="C147:J147"/>
    <mergeCell ref="C165:J165"/>
    <mergeCell ref="D66:J66"/>
    <mergeCell ref="D67:J67"/>
    <mergeCell ref="D68:J68"/>
    <mergeCell ref="D69:J69"/>
    <mergeCell ref="D70:J70"/>
    <mergeCell ref="D60:J60"/>
    <mergeCell ref="D61:J61"/>
    <mergeCell ref="D62:J62"/>
    <mergeCell ref="D63:J63"/>
    <mergeCell ref="D65:J65"/>
    <mergeCell ref="C54:J54"/>
    <mergeCell ref="C55:J55"/>
    <mergeCell ref="C57:J57"/>
    <mergeCell ref="D58:J58"/>
    <mergeCell ref="D59:J59"/>
    <mergeCell ref="F23:J23"/>
    <mergeCell ref="C25:J25"/>
    <mergeCell ref="C26:J26"/>
    <mergeCell ref="D27:J27"/>
    <mergeCell ref="D28:J28"/>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D47:J47"/>
    <mergeCell ref="E48:J48"/>
    <mergeCell ref="E49:J49"/>
    <mergeCell ref="E50:J50"/>
    <mergeCell ref="D51:J51"/>
    <mergeCell ref="G41:J41"/>
    <mergeCell ref="G42:J42"/>
    <mergeCell ref="G43:J43"/>
    <mergeCell ref="G44:J44"/>
    <mergeCell ref="G45:J45"/>
    <mergeCell ref="G36:J36"/>
    <mergeCell ref="G37:J37"/>
    <mergeCell ref="G38:J38"/>
    <mergeCell ref="G39:J39"/>
    <mergeCell ref="G40:J40"/>
    <mergeCell ref="D30:J30"/>
    <mergeCell ref="D31:J31"/>
    <mergeCell ref="D33:J33"/>
    <mergeCell ref="D34:J34"/>
    <mergeCell ref="D35:J35"/>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6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90</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324</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ROUND(J86,2)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ROUND((SUM(BE86:BE266)),2)</f>
        <v>0</v>
      </c>
      <c r="I33" s="90">
        <v>0.21</v>
      </c>
      <c r="J33" s="89">
        <f>ROUND(((SUM(BE86:BE266))*I33),2)</f>
        <v>0</v>
      </c>
      <c r="L33" s="33"/>
    </row>
    <row r="34" spans="2:12" s="1" customFormat="1" ht="14.45" customHeight="1">
      <c r="B34" s="33"/>
      <c r="E34" s="28" t="s">
        <v>49</v>
      </c>
      <c r="F34" s="89">
        <f>ROUND((SUM(BF86:BF266)),2)</f>
        <v>0</v>
      </c>
      <c r="I34" s="90">
        <v>0.15</v>
      </c>
      <c r="J34" s="89">
        <f>ROUND(((SUM(BF86:BF266))*I34),2)</f>
        <v>0</v>
      </c>
      <c r="L34" s="33"/>
    </row>
    <row r="35" spans="2:12" s="1" customFormat="1" ht="14.45" customHeight="1" hidden="1">
      <c r="B35" s="33"/>
      <c r="E35" s="28" t="s">
        <v>50</v>
      </c>
      <c r="F35" s="89">
        <f>ROUND((SUM(BG86:BG266)),2)</f>
        <v>0</v>
      </c>
      <c r="I35" s="90">
        <v>0.21</v>
      </c>
      <c r="J35" s="89">
        <f>0</f>
        <v>0</v>
      </c>
      <c r="L35" s="33"/>
    </row>
    <row r="36" spans="2:12" s="1" customFormat="1" ht="14.45" customHeight="1" hidden="1">
      <c r="B36" s="33"/>
      <c r="E36" s="28" t="s">
        <v>51</v>
      </c>
      <c r="F36" s="89">
        <f>ROUND((SUM(BH86:BH266)),2)</f>
        <v>0</v>
      </c>
      <c r="I36" s="90">
        <v>0.15</v>
      </c>
      <c r="J36" s="89">
        <f>0</f>
        <v>0</v>
      </c>
      <c r="L36" s="33"/>
    </row>
    <row r="37" spans="2:12" s="1" customFormat="1" ht="14.45" customHeight="1" hidden="1">
      <c r="B37" s="33"/>
      <c r="E37" s="28" t="s">
        <v>52</v>
      </c>
      <c r="F37" s="89">
        <f>ROUND((SUM(BI86:BI266)),2)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2 - Sanace betonové konstrukce ponechávané části</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J86</f>
        <v>0</v>
      </c>
      <c r="L59" s="33"/>
      <c r="AU59" s="18" t="s">
        <v>152</v>
      </c>
    </row>
    <row r="60" spans="2:12" s="8" customFormat="1" ht="24.95" customHeight="1">
      <c r="B60" s="100"/>
      <c r="D60" s="101" t="s">
        <v>153</v>
      </c>
      <c r="E60" s="102"/>
      <c r="F60" s="102"/>
      <c r="G60" s="102"/>
      <c r="H60" s="102"/>
      <c r="I60" s="102"/>
      <c r="J60" s="103">
        <f>J87</f>
        <v>0</v>
      </c>
      <c r="L60" s="100"/>
    </row>
    <row r="61" spans="2:12" s="9" customFormat="1" ht="19.9" customHeight="1">
      <c r="B61" s="104"/>
      <c r="D61" s="105" t="s">
        <v>325</v>
      </c>
      <c r="E61" s="106"/>
      <c r="F61" s="106"/>
      <c r="G61" s="106"/>
      <c r="H61" s="106"/>
      <c r="I61" s="106"/>
      <c r="J61" s="107">
        <f>J88</f>
        <v>0</v>
      </c>
      <c r="L61" s="104"/>
    </row>
    <row r="62" spans="2:12" s="9" customFormat="1" ht="19.9" customHeight="1">
      <c r="B62" s="104"/>
      <c r="D62" s="105" t="s">
        <v>154</v>
      </c>
      <c r="E62" s="106"/>
      <c r="F62" s="106"/>
      <c r="G62" s="106"/>
      <c r="H62" s="106"/>
      <c r="I62" s="106"/>
      <c r="J62" s="107">
        <f>J230</f>
        <v>0</v>
      </c>
      <c r="L62" s="104"/>
    </row>
    <row r="63" spans="2:12" s="9" customFormat="1" ht="19.9" customHeight="1">
      <c r="B63" s="104"/>
      <c r="D63" s="105" t="s">
        <v>326</v>
      </c>
      <c r="E63" s="106"/>
      <c r="F63" s="106"/>
      <c r="G63" s="106"/>
      <c r="H63" s="106"/>
      <c r="I63" s="106"/>
      <c r="J63" s="107">
        <f>J253</f>
        <v>0</v>
      </c>
      <c r="L63" s="104"/>
    </row>
    <row r="64" spans="2:12" s="8" customFormat="1" ht="24.95" customHeight="1">
      <c r="B64" s="100"/>
      <c r="D64" s="101" t="s">
        <v>161</v>
      </c>
      <c r="E64" s="102"/>
      <c r="F64" s="102"/>
      <c r="G64" s="102"/>
      <c r="H64" s="102"/>
      <c r="I64" s="102"/>
      <c r="J64" s="103">
        <f>J258</f>
        <v>0</v>
      </c>
      <c r="L64" s="100"/>
    </row>
    <row r="65" spans="2:12" s="8" customFormat="1" ht="24.95" customHeight="1">
      <c r="B65" s="100"/>
      <c r="D65" s="101" t="s">
        <v>327</v>
      </c>
      <c r="E65" s="102"/>
      <c r="F65" s="102"/>
      <c r="G65" s="102"/>
      <c r="H65" s="102"/>
      <c r="I65" s="102"/>
      <c r="J65" s="103">
        <f>J262</f>
        <v>0</v>
      </c>
      <c r="L65" s="100"/>
    </row>
    <row r="66" spans="2:12" s="9" customFormat="1" ht="19.9" customHeight="1">
      <c r="B66" s="104"/>
      <c r="D66" s="105" t="s">
        <v>328</v>
      </c>
      <c r="E66" s="106"/>
      <c r="F66" s="106"/>
      <c r="G66" s="106"/>
      <c r="H66" s="106"/>
      <c r="I66" s="106"/>
      <c r="J66" s="107">
        <f>J263</f>
        <v>0</v>
      </c>
      <c r="L66" s="104"/>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162</v>
      </c>
      <c r="L73" s="33"/>
    </row>
    <row r="74" spans="2:12" s="1" customFormat="1" ht="6.95" customHeight="1">
      <c r="B74" s="33"/>
      <c r="L74" s="33"/>
    </row>
    <row r="75" spans="2:12" s="1" customFormat="1" ht="12" customHeight="1">
      <c r="B75" s="33"/>
      <c r="C75" s="28" t="s">
        <v>17</v>
      </c>
      <c r="L75" s="33"/>
    </row>
    <row r="76" spans="2:12" s="1" customFormat="1" ht="16.5" customHeight="1">
      <c r="B76" s="33"/>
      <c r="E76" s="315" t="str">
        <f>E7</f>
        <v>ZŠ P. HOLÉHO - PŘESTAVBA PLAVECKÉHO PAVILONU</v>
      </c>
      <c r="F76" s="316"/>
      <c r="G76" s="316"/>
      <c r="H76" s="316"/>
      <c r="L76" s="33"/>
    </row>
    <row r="77" spans="2:12" s="1" customFormat="1" ht="12" customHeight="1">
      <c r="B77" s="33"/>
      <c r="C77" s="28" t="s">
        <v>146</v>
      </c>
      <c r="L77" s="33"/>
    </row>
    <row r="78" spans="2:12" s="1" customFormat="1" ht="16.5" customHeight="1">
      <c r="B78" s="33"/>
      <c r="E78" s="281" t="str">
        <f>E9</f>
        <v>E 2 - Sanace betonové konstrukce ponechávané části</v>
      </c>
      <c r="F78" s="317"/>
      <c r="G78" s="317"/>
      <c r="H78" s="317"/>
      <c r="L78" s="33"/>
    </row>
    <row r="79" spans="2:12" s="1" customFormat="1" ht="6.95" customHeight="1">
      <c r="B79" s="33"/>
      <c r="L79" s="33"/>
    </row>
    <row r="80" spans="2:12" s="1" customFormat="1" ht="12" customHeight="1">
      <c r="B80" s="33"/>
      <c r="C80" s="28" t="s">
        <v>21</v>
      </c>
      <c r="F80" s="26" t="str">
        <f>F12</f>
        <v>Prokopa Holého 2632, Louny, 440 01</v>
      </c>
      <c r="I80" s="28" t="s">
        <v>23</v>
      </c>
      <c r="J80" s="50" t="str">
        <f>IF(J12="","",J12)</f>
        <v>21. 9. 2022</v>
      </c>
      <c r="L80" s="33"/>
    </row>
    <row r="81" spans="2:12" s="1" customFormat="1" ht="6.95" customHeight="1">
      <c r="B81" s="33"/>
      <c r="L81" s="33"/>
    </row>
    <row r="82" spans="2:12" s="1" customFormat="1" ht="15.2" customHeight="1">
      <c r="B82" s="33"/>
      <c r="C82" s="28" t="s">
        <v>25</v>
      </c>
      <c r="F82" s="26" t="str">
        <f>E15</f>
        <v>Město Louny</v>
      </c>
      <c r="I82" s="28" t="s">
        <v>32</v>
      </c>
      <c r="J82" s="31" t="str">
        <f>E21</f>
        <v>RYSIK Design s.r.o.</v>
      </c>
      <c r="L82" s="33"/>
    </row>
    <row r="83" spans="2:12" s="1" customFormat="1" ht="25.7" customHeight="1">
      <c r="B83" s="33"/>
      <c r="C83" s="28" t="s">
        <v>30</v>
      </c>
      <c r="F83" s="26" t="str">
        <f>IF(E18="","",E18)</f>
        <v>Vyplň údaj</v>
      </c>
      <c r="I83" s="28" t="s">
        <v>37</v>
      </c>
      <c r="J83" s="31" t="str">
        <f>E24</f>
        <v>ing. Kateřina Tumpachová</v>
      </c>
      <c r="L83" s="33"/>
    </row>
    <row r="84" spans="2:12" s="1" customFormat="1" ht="10.35" customHeight="1">
      <c r="B84" s="33"/>
      <c r="L84" s="33"/>
    </row>
    <row r="85" spans="2:20" s="10" customFormat="1" ht="29.25" customHeight="1">
      <c r="B85" s="108"/>
      <c r="C85" s="109" t="s">
        <v>163</v>
      </c>
      <c r="D85" s="110" t="s">
        <v>62</v>
      </c>
      <c r="E85" s="110" t="s">
        <v>58</v>
      </c>
      <c r="F85" s="110" t="s">
        <v>59</v>
      </c>
      <c r="G85" s="110" t="s">
        <v>164</v>
      </c>
      <c r="H85" s="110" t="s">
        <v>165</v>
      </c>
      <c r="I85" s="110" t="s">
        <v>166</v>
      </c>
      <c r="J85" s="110" t="s">
        <v>151</v>
      </c>
      <c r="K85" s="111" t="s">
        <v>167</v>
      </c>
      <c r="L85" s="108"/>
      <c r="M85" s="57" t="s">
        <v>3</v>
      </c>
      <c r="N85" s="58" t="s">
        <v>47</v>
      </c>
      <c r="O85" s="58" t="s">
        <v>168</v>
      </c>
      <c r="P85" s="58" t="s">
        <v>169</v>
      </c>
      <c r="Q85" s="58" t="s">
        <v>170</v>
      </c>
      <c r="R85" s="58" t="s">
        <v>171</v>
      </c>
      <c r="S85" s="58" t="s">
        <v>172</v>
      </c>
      <c r="T85" s="59" t="s">
        <v>173</v>
      </c>
    </row>
    <row r="86" spans="2:63" s="1" customFormat="1" ht="22.9" customHeight="1">
      <c r="B86" s="33"/>
      <c r="C86" s="62" t="s">
        <v>174</v>
      </c>
      <c r="J86" s="112">
        <f>BK86</f>
        <v>0</v>
      </c>
      <c r="L86" s="33"/>
      <c r="M86" s="60"/>
      <c r="N86" s="51"/>
      <c r="O86" s="51"/>
      <c r="P86" s="113">
        <f>P87+P258+P262</f>
        <v>0</v>
      </c>
      <c r="Q86" s="51"/>
      <c r="R86" s="113">
        <f>R87+R258+R262</f>
        <v>60.747800812350015</v>
      </c>
      <c r="S86" s="51"/>
      <c r="T86" s="114">
        <f>T87+T258+T262</f>
        <v>126.48892599999999</v>
      </c>
      <c r="AT86" s="18" t="s">
        <v>76</v>
      </c>
      <c r="AU86" s="18" t="s">
        <v>152</v>
      </c>
      <c r="BK86" s="115">
        <f>BK87+BK258+BK262</f>
        <v>0</v>
      </c>
    </row>
    <row r="87" spans="2:63" s="11" customFormat="1" ht="25.9" customHeight="1">
      <c r="B87" s="116"/>
      <c r="D87" s="117" t="s">
        <v>76</v>
      </c>
      <c r="E87" s="118" t="s">
        <v>175</v>
      </c>
      <c r="F87" s="118" t="s">
        <v>176</v>
      </c>
      <c r="I87" s="119"/>
      <c r="J87" s="120">
        <f>BK87</f>
        <v>0</v>
      </c>
      <c r="L87" s="116"/>
      <c r="M87" s="121"/>
      <c r="P87" s="122">
        <f>P88+P230+P253</f>
        <v>0</v>
      </c>
      <c r="R87" s="122">
        <f>R88+R230+R253</f>
        <v>60.747800812350015</v>
      </c>
      <c r="T87" s="123">
        <f>T88+T230+T253</f>
        <v>126.48892599999999</v>
      </c>
      <c r="AR87" s="117" t="s">
        <v>85</v>
      </c>
      <c r="AT87" s="124" t="s">
        <v>76</v>
      </c>
      <c r="AU87" s="124" t="s">
        <v>77</v>
      </c>
      <c r="AY87" s="117" t="s">
        <v>177</v>
      </c>
      <c r="BK87" s="125">
        <f>BK88+BK230+BK253</f>
        <v>0</v>
      </c>
    </row>
    <row r="88" spans="2:63" s="11" customFormat="1" ht="22.9" customHeight="1">
      <c r="B88" s="116"/>
      <c r="D88" s="117" t="s">
        <v>76</v>
      </c>
      <c r="E88" s="126" t="s">
        <v>252</v>
      </c>
      <c r="F88" s="126" t="s">
        <v>329</v>
      </c>
      <c r="I88" s="119"/>
      <c r="J88" s="127">
        <f>BK88</f>
        <v>0</v>
      </c>
      <c r="L88" s="116"/>
      <c r="M88" s="121"/>
      <c r="P88" s="122">
        <f>SUM(P89:P229)</f>
        <v>0</v>
      </c>
      <c r="R88" s="122">
        <f>SUM(R89:R229)</f>
        <v>60.747800812350015</v>
      </c>
      <c r="T88" s="123">
        <f>SUM(T89:T229)</f>
        <v>126.48892599999999</v>
      </c>
      <c r="AR88" s="117" t="s">
        <v>85</v>
      </c>
      <c r="AT88" s="124" t="s">
        <v>76</v>
      </c>
      <c r="AU88" s="124" t="s">
        <v>85</v>
      </c>
      <c r="AY88" s="117" t="s">
        <v>177</v>
      </c>
      <c r="BK88" s="125">
        <f>SUM(BK89:BK229)</f>
        <v>0</v>
      </c>
    </row>
    <row r="89" spans="2:65" s="1" customFormat="1" ht="37.9" customHeight="1">
      <c r="B89" s="128"/>
      <c r="C89" s="129" t="s">
        <v>85</v>
      </c>
      <c r="D89" s="129" t="s">
        <v>180</v>
      </c>
      <c r="E89" s="130" t="s">
        <v>330</v>
      </c>
      <c r="F89" s="131" t="s">
        <v>331</v>
      </c>
      <c r="G89" s="132" t="s">
        <v>332</v>
      </c>
      <c r="H89" s="133">
        <v>969.6</v>
      </c>
      <c r="I89" s="134"/>
      <c r="J89" s="135">
        <f>ROUND(I89*H89,2)</f>
        <v>0</v>
      </c>
      <c r="K89" s="131" t="s">
        <v>184</v>
      </c>
      <c r="L89" s="33"/>
      <c r="M89" s="136" t="s">
        <v>3</v>
      </c>
      <c r="N89" s="137" t="s">
        <v>48</v>
      </c>
      <c r="P89" s="138">
        <f>O89*H89</f>
        <v>0</v>
      </c>
      <c r="Q89" s="138">
        <v>0.00021</v>
      </c>
      <c r="R89" s="138">
        <f>Q89*H89</f>
        <v>0.20361600000000002</v>
      </c>
      <c r="S89" s="138">
        <v>0</v>
      </c>
      <c r="T89" s="139">
        <f>S89*H89</f>
        <v>0</v>
      </c>
      <c r="AR89" s="140" t="s">
        <v>185</v>
      </c>
      <c r="AT89" s="140" t="s">
        <v>180</v>
      </c>
      <c r="AU89" s="140" t="s">
        <v>87</v>
      </c>
      <c r="AY89" s="18" t="s">
        <v>177</v>
      </c>
      <c r="BE89" s="141">
        <f>IF(N89="základní",J89,0)</f>
        <v>0</v>
      </c>
      <c r="BF89" s="141">
        <f>IF(N89="snížená",J89,0)</f>
        <v>0</v>
      </c>
      <c r="BG89" s="141">
        <f>IF(N89="zákl. přenesená",J89,0)</f>
        <v>0</v>
      </c>
      <c r="BH89" s="141">
        <f>IF(N89="sníž. přenesená",J89,0)</f>
        <v>0</v>
      </c>
      <c r="BI89" s="141">
        <f>IF(N89="nulová",J89,0)</f>
        <v>0</v>
      </c>
      <c r="BJ89" s="18" t="s">
        <v>85</v>
      </c>
      <c r="BK89" s="141">
        <f>ROUND(I89*H89,2)</f>
        <v>0</v>
      </c>
      <c r="BL89" s="18" t="s">
        <v>185</v>
      </c>
      <c r="BM89" s="140" t="s">
        <v>333</v>
      </c>
    </row>
    <row r="90" spans="2:47" s="1" customFormat="1" ht="19.5">
      <c r="B90" s="33"/>
      <c r="D90" s="142" t="s">
        <v>187</v>
      </c>
      <c r="F90" s="143" t="s">
        <v>334</v>
      </c>
      <c r="I90" s="144"/>
      <c r="L90" s="33"/>
      <c r="M90" s="145"/>
      <c r="T90" s="54"/>
      <c r="AT90" s="18" t="s">
        <v>187</v>
      </c>
      <c r="AU90" s="18" t="s">
        <v>87</v>
      </c>
    </row>
    <row r="91" spans="2:47" s="1" customFormat="1" ht="11.25">
      <c r="B91" s="33"/>
      <c r="D91" s="146" t="s">
        <v>189</v>
      </c>
      <c r="F91" s="147" t="s">
        <v>335</v>
      </c>
      <c r="I91" s="144"/>
      <c r="L91" s="33"/>
      <c r="M91" s="145"/>
      <c r="T91" s="54"/>
      <c r="AT91" s="18" t="s">
        <v>189</v>
      </c>
      <c r="AU91" s="18" t="s">
        <v>87</v>
      </c>
    </row>
    <row r="92" spans="2:47" s="1" customFormat="1" ht="78">
      <c r="B92" s="33"/>
      <c r="D92" s="142" t="s">
        <v>191</v>
      </c>
      <c r="F92" s="148" t="s">
        <v>336</v>
      </c>
      <c r="I92" s="144"/>
      <c r="L92" s="33"/>
      <c r="M92" s="145"/>
      <c r="T92" s="54"/>
      <c r="AT92" s="18" t="s">
        <v>191</v>
      </c>
      <c r="AU92" s="18" t="s">
        <v>87</v>
      </c>
    </row>
    <row r="93" spans="2:51" s="12" customFormat="1" ht="11.25">
      <c r="B93" s="149"/>
      <c r="D93" s="142" t="s">
        <v>193</v>
      </c>
      <c r="E93" s="150" t="s">
        <v>3</v>
      </c>
      <c r="F93" s="151" t="s">
        <v>337</v>
      </c>
      <c r="H93" s="152">
        <v>312</v>
      </c>
      <c r="I93" s="153"/>
      <c r="L93" s="149"/>
      <c r="M93" s="154"/>
      <c r="T93" s="155"/>
      <c r="AT93" s="150" t="s">
        <v>193</v>
      </c>
      <c r="AU93" s="150" t="s">
        <v>87</v>
      </c>
      <c r="AV93" s="12" t="s">
        <v>87</v>
      </c>
      <c r="AW93" s="12" t="s">
        <v>36</v>
      </c>
      <c r="AX93" s="12" t="s">
        <v>77</v>
      </c>
      <c r="AY93" s="150" t="s">
        <v>177</v>
      </c>
    </row>
    <row r="94" spans="2:51" s="12" customFormat="1" ht="11.25">
      <c r="B94" s="149"/>
      <c r="D94" s="142" t="s">
        <v>193</v>
      </c>
      <c r="E94" s="150" t="s">
        <v>3</v>
      </c>
      <c r="F94" s="151" t="s">
        <v>338</v>
      </c>
      <c r="H94" s="152">
        <v>657.6</v>
      </c>
      <c r="I94" s="153"/>
      <c r="L94" s="149"/>
      <c r="M94" s="154"/>
      <c r="T94" s="155"/>
      <c r="AT94" s="150" t="s">
        <v>193</v>
      </c>
      <c r="AU94" s="150" t="s">
        <v>87</v>
      </c>
      <c r="AV94" s="12" t="s">
        <v>87</v>
      </c>
      <c r="AW94" s="12" t="s">
        <v>36</v>
      </c>
      <c r="AX94" s="12" t="s">
        <v>77</v>
      </c>
      <c r="AY94" s="150" t="s">
        <v>177</v>
      </c>
    </row>
    <row r="95" spans="2:51" s="15" customFormat="1" ht="11.25">
      <c r="B95" s="169"/>
      <c r="D95" s="142" t="s">
        <v>193</v>
      </c>
      <c r="E95" s="170" t="s">
        <v>3</v>
      </c>
      <c r="F95" s="171" t="s">
        <v>201</v>
      </c>
      <c r="H95" s="172">
        <v>969.6</v>
      </c>
      <c r="I95" s="173"/>
      <c r="L95" s="169"/>
      <c r="M95" s="174"/>
      <c r="T95" s="175"/>
      <c r="AT95" s="170" t="s">
        <v>193</v>
      </c>
      <c r="AU95" s="170" t="s">
        <v>87</v>
      </c>
      <c r="AV95" s="15" t="s">
        <v>185</v>
      </c>
      <c r="AW95" s="15" t="s">
        <v>36</v>
      </c>
      <c r="AX95" s="15" t="s">
        <v>85</v>
      </c>
      <c r="AY95" s="170" t="s">
        <v>177</v>
      </c>
    </row>
    <row r="96" spans="2:65" s="1" customFormat="1" ht="24.2" customHeight="1">
      <c r="B96" s="128"/>
      <c r="C96" s="129" t="s">
        <v>87</v>
      </c>
      <c r="D96" s="129" t="s">
        <v>180</v>
      </c>
      <c r="E96" s="130" t="s">
        <v>339</v>
      </c>
      <c r="F96" s="131" t="s">
        <v>340</v>
      </c>
      <c r="G96" s="132" t="s">
        <v>332</v>
      </c>
      <c r="H96" s="133">
        <v>969.6</v>
      </c>
      <c r="I96" s="134"/>
      <c r="J96" s="135">
        <f>ROUND(I96*H96,2)</f>
        <v>0</v>
      </c>
      <c r="K96" s="131" t="s">
        <v>184</v>
      </c>
      <c r="L96" s="33"/>
      <c r="M96" s="136" t="s">
        <v>3</v>
      </c>
      <c r="N96" s="137" t="s">
        <v>48</v>
      </c>
      <c r="P96" s="138">
        <f>O96*H96</f>
        <v>0</v>
      </c>
      <c r="Q96" s="138">
        <v>3.5E-05</v>
      </c>
      <c r="R96" s="138">
        <f>Q96*H96</f>
        <v>0.033936</v>
      </c>
      <c r="S96" s="138">
        <v>0</v>
      </c>
      <c r="T96" s="139">
        <f>S96*H96</f>
        <v>0</v>
      </c>
      <c r="AR96" s="140" t="s">
        <v>185</v>
      </c>
      <c r="AT96" s="140" t="s">
        <v>180</v>
      </c>
      <c r="AU96" s="140" t="s">
        <v>87</v>
      </c>
      <c r="AY96" s="18" t="s">
        <v>177</v>
      </c>
      <c r="BE96" s="141">
        <f>IF(N96="základní",J96,0)</f>
        <v>0</v>
      </c>
      <c r="BF96" s="141">
        <f>IF(N96="snížená",J96,0)</f>
        <v>0</v>
      </c>
      <c r="BG96" s="141">
        <f>IF(N96="zákl. přenesená",J96,0)</f>
        <v>0</v>
      </c>
      <c r="BH96" s="141">
        <f>IF(N96="sníž. přenesená",J96,0)</f>
        <v>0</v>
      </c>
      <c r="BI96" s="141">
        <f>IF(N96="nulová",J96,0)</f>
        <v>0</v>
      </c>
      <c r="BJ96" s="18" t="s">
        <v>85</v>
      </c>
      <c r="BK96" s="141">
        <f>ROUND(I96*H96,2)</f>
        <v>0</v>
      </c>
      <c r="BL96" s="18" t="s">
        <v>185</v>
      </c>
      <c r="BM96" s="140" t="s">
        <v>341</v>
      </c>
    </row>
    <row r="97" spans="2:47" s="1" customFormat="1" ht="19.5">
      <c r="B97" s="33"/>
      <c r="D97" s="142" t="s">
        <v>187</v>
      </c>
      <c r="F97" s="143" t="s">
        <v>342</v>
      </c>
      <c r="I97" s="144"/>
      <c r="L97" s="33"/>
      <c r="M97" s="145"/>
      <c r="T97" s="54"/>
      <c r="AT97" s="18" t="s">
        <v>187</v>
      </c>
      <c r="AU97" s="18" t="s">
        <v>87</v>
      </c>
    </row>
    <row r="98" spans="2:47" s="1" customFormat="1" ht="11.25">
      <c r="B98" s="33"/>
      <c r="D98" s="146" t="s">
        <v>189</v>
      </c>
      <c r="F98" s="147" t="s">
        <v>343</v>
      </c>
      <c r="I98" s="144"/>
      <c r="L98" s="33"/>
      <c r="M98" s="145"/>
      <c r="T98" s="54"/>
      <c r="AT98" s="18" t="s">
        <v>189</v>
      </c>
      <c r="AU98" s="18" t="s">
        <v>87</v>
      </c>
    </row>
    <row r="99" spans="2:47" s="1" customFormat="1" ht="273">
      <c r="B99" s="33"/>
      <c r="D99" s="142" t="s">
        <v>191</v>
      </c>
      <c r="F99" s="148" t="s">
        <v>344</v>
      </c>
      <c r="I99" s="144"/>
      <c r="L99" s="33"/>
      <c r="M99" s="145"/>
      <c r="T99" s="54"/>
      <c r="AT99" s="18" t="s">
        <v>191</v>
      </c>
      <c r="AU99" s="18" t="s">
        <v>87</v>
      </c>
    </row>
    <row r="100" spans="2:65" s="1" customFormat="1" ht="24.2" customHeight="1">
      <c r="B100" s="128"/>
      <c r="C100" s="129" t="s">
        <v>198</v>
      </c>
      <c r="D100" s="129" t="s">
        <v>180</v>
      </c>
      <c r="E100" s="130" t="s">
        <v>345</v>
      </c>
      <c r="F100" s="131" t="s">
        <v>346</v>
      </c>
      <c r="G100" s="132" t="s">
        <v>332</v>
      </c>
      <c r="H100" s="133">
        <v>158.916</v>
      </c>
      <c r="I100" s="134"/>
      <c r="J100" s="135">
        <f>ROUND(I100*H100,2)</f>
        <v>0</v>
      </c>
      <c r="K100" s="131" t="s">
        <v>184</v>
      </c>
      <c r="L100" s="33"/>
      <c r="M100" s="136" t="s">
        <v>3</v>
      </c>
      <c r="N100" s="137" t="s">
        <v>48</v>
      </c>
      <c r="P100" s="138">
        <f>O100*H100</f>
        <v>0</v>
      </c>
      <c r="Q100" s="138">
        <v>0</v>
      </c>
      <c r="R100" s="138">
        <f>Q100*H100</f>
        <v>0</v>
      </c>
      <c r="S100" s="138">
        <v>0.066</v>
      </c>
      <c r="T100" s="139">
        <f>S100*H100</f>
        <v>10.488456000000001</v>
      </c>
      <c r="AR100" s="140" t="s">
        <v>185</v>
      </c>
      <c r="AT100" s="140" t="s">
        <v>180</v>
      </c>
      <c r="AU100" s="140" t="s">
        <v>87</v>
      </c>
      <c r="AY100" s="18" t="s">
        <v>177</v>
      </c>
      <c r="BE100" s="141">
        <f>IF(N100="základní",J100,0)</f>
        <v>0</v>
      </c>
      <c r="BF100" s="141">
        <f>IF(N100="snížená",J100,0)</f>
        <v>0</v>
      </c>
      <c r="BG100" s="141">
        <f>IF(N100="zákl. přenesená",J100,0)</f>
        <v>0</v>
      </c>
      <c r="BH100" s="141">
        <f>IF(N100="sníž. přenesená",J100,0)</f>
        <v>0</v>
      </c>
      <c r="BI100" s="141">
        <f>IF(N100="nulová",J100,0)</f>
        <v>0</v>
      </c>
      <c r="BJ100" s="18" t="s">
        <v>85</v>
      </c>
      <c r="BK100" s="141">
        <f>ROUND(I100*H100,2)</f>
        <v>0</v>
      </c>
      <c r="BL100" s="18" t="s">
        <v>185</v>
      </c>
      <c r="BM100" s="140" t="s">
        <v>347</v>
      </c>
    </row>
    <row r="101" spans="2:47" s="1" customFormat="1" ht="11.25">
      <c r="B101" s="33"/>
      <c r="D101" s="142" t="s">
        <v>187</v>
      </c>
      <c r="F101" s="143" t="s">
        <v>348</v>
      </c>
      <c r="I101" s="144"/>
      <c r="L101" s="33"/>
      <c r="M101" s="145"/>
      <c r="T101" s="54"/>
      <c r="AT101" s="18" t="s">
        <v>187</v>
      </c>
      <c r="AU101" s="18" t="s">
        <v>87</v>
      </c>
    </row>
    <row r="102" spans="2:47" s="1" customFormat="1" ht="11.25">
      <c r="B102" s="33"/>
      <c r="D102" s="146" t="s">
        <v>189</v>
      </c>
      <c r="F102" s="147" t="s">
        <v>349</v>
      </c>
      <c r="I102" s="144"/>
      <c r="L102" s="33"/>
      <c r="M102" s="145"/>
      <c r="T102" s="54"/>
      <c r="AT102" s="18" t="s">
        <v>189</v>
      </c>
      <c r="AU102" s="18" t="s">
        <v>87</v>
      </c>
    </row>
    <row r="103" spans="2:47" s="1" customFormat="1" ht="48.75">
      <c r="B103" s="33"/>
      <c r="D103" s="142" t="s">
        <v>191</v>
      </c>
      <c r="F103" s="148" t="s">
        <v>350</v>
      </c>
      <c r="I103" s="144"/>
      <c r="L103" s="33"/>
      <c r="M103" s="145"/>
      <c r="T103" s="54"/>
      <c r="AT103" s="18" t="s">
        <v>191</v>
      </c>
      <c r="AU103" s="18" t="s">
        <v>87</v>
      </c>
    </row>
    <row r="104" spans="2:51" s="12" customFormat="1" ht="11.25">
      <c r="B104" s="149"/>
      <c r="D104" s="142" t="s">
        <v>193</v>
      </c>
      <c r="E104" s="150" t="s">
        <v>3</v>
      </c>
      <c r="F104" s="151" t="s">
        <v>351</v>
      </c>
      <c r="H104" s="152">
        <v>158.916</v>
      </c>
      <c r="I104" s="153"/>
      <c r="L104" s="149"/>
      <c r="M104" s="154"/>
      <c r="T104" s="155"/>
      <c r="AT104" s="150" t="s">
        <v>193</v>
      </c>
      <c r="AU104" s="150" t="s">
        <v>87</v>
      </c>
      <c r="AV104" s="12" t="s">
        <v>87</v>
      </c>
      <c r="AW104" s="12" t="s">
        <v>36</v>
      </c>
      <c r="AX104" s="12" t="s">
        <v>85</v>
      </c>
      <c r="AY104" s="150" t="s">
        <v>177</v>
      </c>
    </row>
    <row r="105" spans="2:65" s="1" customFormat="1" ht="24.2" customHeight="1">
      <c r="B105" s="128"/>
      <c r="C105" s="129" t="s">
        <v>185</v>
      </c>
      <c r="D105" s="129" t="s">
        <v>180</v>
      </c>
      <c r="E105" s="130" t="s">
        <v>352</v>
      </c>
      <c r="F105" s="131" t="s">
        <v>353</v>
      </c>
      <c r="G105" s="132" t="s">
        <v>332</v>
      </c>
      <c r="H105" s="133">
        <v>255.242</v>
      </c>
      <c r="I105" s="134"/>
      <c r="J105" s="135">
        <f>ROUND(I105*H105,2)</f>
        <v>0</v>
      </c>
      <c r="K105" s="131" t="s">
        <v>184</v>
      </c>
      <c r="L105" s="33"/>
      <c r="M105" s="136" t="s">
        <v>3</v>
      </c>
      <c r="N105" s="137" t="s">
        <v>48</v>
      </c>
      <c r="P105" s="138">
        <f>O105*H105</f>
        <v>0</v>
      </c>
      <c r="Q105" s="138">
        <v>0</v>
      </c>
      <c r="R105" s="138">
        <f>Q105*H105</f>
        <v>0</v>
      </c>
      <c r="S105" s="138">
        <v>0.11</v>
      </c>
      <c r="T105" s="139">
        <f>S105*H105</f>
        <v>28.07662</v>
      </c>
      <c r="AR105" s="140" t="s">
        <v>185</v>
      </c>
      <c r="AT105" s="140" t="s">
        <v>180</v>
      </c>
      <c r="AU105" s="140" t="s">
        <v>87</v>
      </c>
      <c r="AY105" s="18" t="s">
        <v>177</v>
      </c>
      <c r="BE105" s="141">
        <f>IF(N105="základní",J105,0)</f>
        <v>0</v>
      </c>
      <c r="BF105" s="141">
        <f>IF(N105="snížená",J105,0)</f>
        <v>0</v>
      </c>
      <c r="BG105" s="141">
        <f>IF(N105="zákl. přenesená",J105,0)</f>
        <v>0</v>
      </c>
      <c r="BH105" s="141">
        <f>IF(N105="sníž. přenesená",J105,0)</f>
        <v>0</v>
      </c>
      <c r="BI105" s="141">
        <f>IF(N105="nulová",J105,0)</f>
        <v>0</v>
      </c>
      <c r="BJ105" s="18" t="s">
        <v>85</v>
      </c>
      <c r="BK105" s="141">
        <f>ROUND(I105*H105,2)</f>
        <v>0</v>
      </c>
      <c r="BL105" s="18" t="s">
        <v>185</v>
      </c>
      <c r="BM105" s="140" t="s">
        <v>354</v>
      </c>
    </row>
    <row r="106" spans="2:47" s="1" customFormat="1" ht="11.25">
      <c r="B106" s="33"/>
      <c r="D106" s="142" t="s">
        <v>187</v>
      </c>
      <c r="F106" s="143" t="s">
        <v>355</v>
      </c>
      <c r="I106" s="144"/>
      <c r="L106" s="33"/>
      <c r="M106" s="145"/>
      <c r="T106" s="54"/>
      <c r="AT106" s="18" t="s">
        <v>187</v>
      </c>
      <c r="AU106" s="18" t="s">
        <v>87</v>
      </c>
    </row>
    <row r="107" spans="2:47" s="1" customFormat="1" ht="11.25">
      <c r="B107" s="33"/>
      <c r="D107" s="146" t="s">
        <v>189</v>
      </c>
      <c r="F107" s="147" t="s">
        <v>356</v>
      </c>
      <c r="I107" s="144"/>
      <c r="L107" s="33"/>
      <c r="M107" s="145"/>
      <c r="T107" s="54"/>
      <c r="AT107" s="18" t="s">
        <v>189</v>
      </c>
      <c r="AU107" s="18" t="s">
        <v>87</v>
      </c>
    </row>
    <row r="108" spans="2:47" s="1" customFormat="1" ht="48.75">
      <c r="B108" s="33"/>
      <c r="D108" s="142" t="s">
        <v>191</v>
      </c>
      <c r="F108" s="148" t="s">
        <v>350</v>
      </c>
      <c r="I108" s="144"/>
      <c r="L108" s="33"/>
      <c r="M108" s="145"/>
      <c r="T108" s="54"/>
      <c r="AT108" s="18" t="s">
        <v>191</v>
      </c>
      <c r="AU108" s="18" t="s">
        <v>87</v>
      </c>
    </row>
    <row r="109" spans="2:65" s="1" customFormat="1" ht="24.2" customHeight="1">
      <c r="B109" s="128"/>
      <c r="C109" s="129" t="s">
        <v>200</v>
      </c>
      <c r="D109" s="129" t="s">
        <v>180</v>
      </c>
      <c r="E109" s="130" t="s">
        <v>357</v>
      </c>
      <c r="F109" s="131" t="s">
        <v>358</v>
      </c>
      <c r="G109" s="132" t="s">
        <v>332</v>
      </c>
      <c r="H109" s="133">
        <v>133.796</v>
      </c>
      <c r="I109" s="134"/>
      <c r="J109" s="135">
        <f>ROUND(I109*H109,2)</f>
        <v>0</v>
      </c>
      <c r="K109" s="131" t="s">
        <v>184</v>
      </c>
      <c r="L109" s="33"/>
      <c r="M109" s="136" t="s">
        <v>3</v>
      </c>
      <c r="N109" s="137" t="s">
        <v>48</v>
      </c>
      <c r="P109" s="138">
        <f>O109*H109</f>
        <v>0</v>
      </c>
      <c r="Q109" s="138">
        <v>0</v>
      </c>
      <c r="R109" s="138">
        <f>Q109*H109</f>
        <v>0</v>
      </c>
      <c r="S109" s="138">
        <v>0.066</v>
      </c>
      <c r="T109" s="139">
        <f>S109*H109</f>
        <v>8.830536</v>
      </c>
      <c r="AR109" s="140" t="s">
        <v>185</v>
      </c>
      <c r="AT109" s="140" t="s">
        <v>180</v>
      </c>
      <c r="AU109" s="140" t="s">
        <v>87</v>
      </c>
      <c r="AY109" s="18" t="s">
        <v>177</v>
      </c>
      <c r="BE109" s="141">
        <f>IF(N109="základní",J109,0)</f>
        <v>0</v>
      </c>
      <c r="BF109" s="141">
        <f>IF(N109="snížená",J109,0)</f>
        <v>0</v>
      </c>
      <c r="BG109" s="141">
        <f>IF(N109="zákl. přenesená",J109,0)</f>
        <v>0</v>
      </c>
      <c r="BH109" s="141">
        <f>IF(N109="sníž. přenesená",J109,0)</f>
        <v>0</v>
      </c>
      <c r="BI109" s="141">
        <f>IF(N109="nulová",J109,0)</f>
        <v>0</v>
      </c>
      <c r="BJ109" s="18" t="s">
        <v>85</v>
      </c>
      <c r="BK109" s="141">
        <f>ROUND(I109*H109,2)</f>
        <v>0</v>
      </c>
      <c r="BL109" s="18" t="s">
        <v>185</v>
      </c>
      <c r="BM109" s="140" t="s">
        <v>359</v>
      </c>
    </row>
    <row r="110" spans="2:47" s="1" customFormat="1" ht="19.5">
      <c r="B110" s="33"/>
      <c r="D110" s="142" t="s">
        <v>187</v>
      </c>
      <c r="F110" s="143" t="s">
        <v>360</v>
      </c>
      <c r="I110" s="144"/>
      <c r="L110" s="33"/>
      <c r="M110" s="145"/>
      <c r="T110" s="54"/>
      <c r="AT110" s="18" t="s">
        <v>187</v>
      </c>
      <c r="AU110" s="18" t="s">
        <v>87</v>
      </c>
    </row>
    <row r="111" spans="2:47" s="1" customFormat="1" ht="11.25">
      <c r="B111" s="33"/>
      <c r="D111" s="146" t="s">
        <v>189</v>
      </c>
      <c r="F111" s="147" t="s">
        <v>361</v>
      </c>
      <c r="I111" s="144"/>
      <c r="L111" s="33"/>
      <c r="M111" s="145"/>
      <c r="T111" s="54"/>
      <c r="AT111" s="18" t="s">
        <v>189</v>
      </c>
      <c r="AU111" s="18" t="s">
        <v>87</v>
      </c>
    </row>
    <row r="112" spans="2:47" s="1" customFormat="1" ht="48.75">
      <c r="B112" s="33"/>
      <c r="D112" s="142" t="s">
        <v>191</v>
      </c>
      <c r="F112" s="148" t="s">
        <v>350</v>
      </c>
      <c r="I112" s="144"/>
      <c r="L112" s="33"/>
      <c r="M112" s="145"/>
      <c r="T112" s="54"/>
      <c r="AT112" s="18" t="s">
        <v>191</v>
      </c>
      <c r="AU112" s="18" t="s">
        <v>87</v>
      </c>
    </row>
    <row r="113" spans="2:65" s="1" customFormat="1" ht="24.2" customHeight="1">
      <c r="B113" s="128"/>
      <c r="C113" s="129" t="s">
        <v>233</v>
      </c>
      <c r="D113" s="129" t="s">
        <v>180</v>
      </c>
      <c r="E113" s="130" t="s">
        <v>362</v>
      </c>
      <c r="F113" s="131" t="s">
        <v>363</v>
      </c>
      <c r="G113" s="132" t="s">
        <v>332</v>
      </c>
      <c r="H113" s="133">
        <v>222.993</v>
      </c>
      <c r="I113" s="134"/>
      <c r="J113" s="135">
        <f>ROUND(I113*H113,2)</f>
        <v>0</v>
      </c>
      <c r="K113" s="131" t="s">
        <v>184</v>
      </c>
      <c r="L113" s="33"/>
      <c r="M113" s="136" t="s">
        <v>3</v>
      </c>
      <c r="N113" s="137" t="s">
        <v>48</v>
      </c>
      <c r="P113" s="138">
        <f>O113*H113</f>
        <v>0</v>
      </c>
      <c r="Q113" s="138">
        <v>0</v>
      </c>
      <c r="R113" s="138">
        <f>Q113*H113</f>
        <v>0</v>
      </c>
      <c r="S113" s="138">
        <v>0.11</v>
      </c>
      <c r="T113" s="139">
        <f>S113*H113</f>
        <v>24.52923</v>
      </c>
      <c r="AR113" s="140" t="s">
        <v>185</v>
      </c>
      <c r="AT113" s="140" t="s">
        <v>180</v>
      </c>
      <c r="AU113" s="140" t="s">
        <v>87</v>
      </c>
      <c r="AY113" s="18" t="s">
        <v>177</v>
      </c>
      <c r="BE113" s="141">
        <f>IF(N113="základní",J113,0)</f>
        <v>0</v>
      </c>
      <c r="BF113" s="141">
        <f>IF(N113="snížená",J113,0)</f>
        <v>0</v>
      </c>
      <c r="BG113" s="141">
        <f>IF(N113="zákl. přenesená",J113,0)</f>
        <v>0</v>
      </c>
      <c r="BH113" s="141">
        <f>IF(N113="sníž. přenesená",J113,0)</f>
        <v>0</v>
      </c>
      <c r="BI113" s="141">
        <f>IF(N113="nulová",J113,0)</f>
        <v>0</v>
      </c>
      <c r="BJ113" s="18" t="s">
        <v>85</v>
      </c>
      <c r="BK113" s="141">
        <f>ROUND(I113*H113,2)</f>
        <v>0</v>
      </c>
      <c r="BL113" s="18" t="s">
        <v>185</v>
      </c>
      <c r="BM113" s="140" t="s">
        <v>364</v>
      </c>
    </row>
    <row r="114" spans="2:47" s="1" customFormat="1" ht="19.5">
      <c r="B114" s="33"/>
      <c r="D114" s="142" t="s">
        <v>187</v>
      </c>
      <c r="F114" s="143" t="s">
        <v>365</v>
      </c>
      <c r="I114" s="144"/>
      <c r="L114" s="33"/>
      <c r="M114" s="145"/>
      <c r="T114" s="54"/>
      <c r="AT114" s="18" t="s">
        <v>187</v>
      </c>
      <c r="AU114" s="18" t="s">
        <v>87</v>
      </c>
    </row>
    <row r="115" spans="2:47" s="1" customFormat="1" ht="11.25">
      <c r="B115" s="33"/>
      <c r="D115" s="146" t="s">
        <v>189</v>
      </c>
      <c r="F115" s="147" t="s">
        <v>366</v>
      </c>
      <c r="I115" s="144"/>
      <c r="L115" s="33"/>
      <c r="M115" s="145"/>
      <c r="T115" s="54"/>
      <c r="AT115" s="18" t="s">
        <v>189</v>
      </c>
      <c r="AU115" s="18" t="s">
        <v>87</v>
      </c>
    </row>
    <row r="116" spans="2:47" s="1" customFormat="1" ht="48.75">
      <c r="B116" s="33"/>
      <c r="D116" s="142" t="s">
        <v>191</v>
      </c>
      <c r="F116" s="148" t="s">
        <v>350</v>
      </c>
      <c r="I116" s="144"/>
      <c r="L116" s="33"/>
      <c r="M116" s="145"/>
      <c r="T116" s="54"/>
      <c r="AT116" s="18" t="s">
        <v>191</v>
      </c>
      <c r="AU116" s="18" t="s">
        <v>87</v>
      </c>
    </row>
    <row r="117" spans="2:65" s="1" customFormat="1" ht="33" customHeight="1">
      <c r="B117" s="128"/>
      <c r="C117" s="129" t="s">
        <v>241</v>
      </c>
      <c r="D117" s="129" t="s">
        <v>180</v>
      </c>
      <c r="E117" s="130" t="s">
        <v>367</v>
      </c>
      <c r="F117" s="131" t="s">
        <v>368</v>
      </c>
      <c r="G117" s="132" t="s">
        <v>332</v>
      </c>
      <c r="H117" s="133">
        <v>414.158</v>
      </c>
      <c r="I117" s="134"/>
      <c r="J117" s="135">
        <f>ROUND(I117*H117,2)</f>
        <v>0</v>
      </c>
      <c r="K117" s="131" t="s">
        <v>184</v>
      </c>
      <c r="L117" s="33"/>
      <c r="M117" s="136" t="s">
        <v>3</v>
      </c>
      <c r="N117" s="137" t="s">
        <v>48</v>
      </c>
      <c r="P117" s="138">
        <f>O117*H117</f>
        <v>0</v>
      </c>
      <c r="Q117" s="138">
        <v>0</v>
      </c>
      <c r="R117" s="138">
        <f>Q117*H117</f>
        <v>0</v>
      </c>
      <c r="S117" s="138">
        <v>0.07</v>
      </c>
      <c r="T117" s="139">
        <f>S117*H117</f>
        <v>28.991060000000004</v>
      </c>
      <c r="AR117" s="140" t="s">
        <v>185</v>
      </c>
      <c r="AT117" s="140" t="s">
        <v>180</v>
      </c>
      <c r="AU117" s="140" t="s">
        <v>87</v>
      </c>
      <c r="AY117" s="18" t="s">
        <v>177</v>
      </c>
      <c r="BE117" s="141">
        <f>IF(N117="základní",J117,0)</f>
        <v>0</v>
      </c>
      <c r="BF117" s="141">
        <f>IF(N117="snížená",J117,0)</f>
        <v>0</v>
      </c>
      <c r="BG117" s="141">
        <f>IF(N117="zákl. přenesená",J117,0)</f>
        <v>0</v>
      </c>
      <c r="BH117" s="141">
        <f>IF(N117="sníž. přenesená",J117,0)</f>
        <v>0</v>
      </c>
      <c r="BI117" s="141">
        <f>IF(N117="nulová",J117,0)</f>
        <v>0</v>
      </c>
      <c r="BJ117" s="18" t="s">
        <v>85</v>
      </c>
      <c r="BK117" s="141">
        <f>ROUND(I117*H117,2)</f>
        <v>0</v>
      </c>
      <c r="BL117" s="18" t="s">
        <v>185</v>
      </c>
      <c r="BM117" s="140" t="s">
        <v>369</v>
      </c>
    </row>
    <row r="118" spans="2:47" s="1" customFormat="1" ht="19.5">
      <c r="B118" s="33"/>
      <c r="D118" s="142" t="s">
        <v>187</v>
      </c>
      <c r="F118" s="143" t="s">
        <v>370</v>
      </c>
      <c r="I118" s="144"/>
      <c r="L118" s="33"/>
      <c r="M118" s="145"/>
      <c r="T118" s="54"/>
      <c r="AT118" s="18" t="s">
        <v>187</v>
      </c>
      <c r="AU118" s="18" t="s">
        <v>87</v>
      </c>
    </row>
    <row r="119" spans="2:47" s="1" customFormat="1" ht="11.25">
      <c r="B119" s="33"/>
      <c r="D119" s="146" t="s">
        <v>189</v>
      </c>
      <c r="F119" s="147" t="s">
        <v>371</v>
      </c>
      <c r="I119" s="144"/>
      <c r="L119" s="33"/>
      <c r="M119" s="145"/>
      <c r="T119" s="54"/>
      <c r="AT119" s="18" t="s">
        <v>189</v>
      </c>
      <c r="AU119" s="18" t="s">
        <v>87</v>
      </c>
    </row>
    <row r="120" spans="2:47" s="1" customFormat="1" ht="78">
      <c r="B120" s="33"/>
      <c r="D120" s="142" t="s">
        <v>191</v>
      </c>
      <c r="F120" s="148" t="s">
        <v>372</v>
      </c>
      <c r="I120" s="144"/>
      <c r="L120" s="33"/>
      <c r="M120" s="145"/>
      <c r="T120" s="54"/>
      <c r="AT120" s="18" t="s">
        <v>191</v>
      </c>
      <c r="AU120" s="18" t="s">
        <v>87</v>
      </c>
    </row>
    <row r="121" spans="2:65" s="1" customFormat="1" ht="24.2" customHeight="1">
      <c r="B121" s="128"/>
      <c r="C121" s="129" t="s">
        <v>248</v>
      </c>
      <c r="D121" s="129" t="s">
        <v>180</v>
      </c>
      <c r="E121" s="130" t="s">
        <v>373</v>
      </c>
      <c r="F121" s="131" t="s">
        <v>374</v>
      </c>
      <c r="G121" s="132" t="s">
        <v>332</v>
      </c>
      <c r="H121" s="133">
        <v>356.789</v>
      </c>
      <c r="I121" s="134"/>
      <c r="J121" s="135">
        <f>ROUND(I121*H121,2)</f>
        <v>0</v>
      </c>
      <c r="K121" s="131" t="s">
        <v>184</v>
      </c>
      <c r="L121" s="33"/>
      <c r="M121" s="136" t="s">
        <v>3</v>
      </c>
      <c r="N121" s="137" t="s">
        <v>48</v>
      </c>
      <c r="P121" s="138">
        <f>O121*H121</f>
        <v>0</v>
      </c>
      <c r="Q121" s="138">
        <v>0</v>
      </c>
      <c r="R121" s="138">
        <f>Q121*H121</f>
        <v>0</v>
      </c>
      <c r="S121" s="138">
        <v>0.07</v>
      </c>
      <c r="T121" s="139">
        <f>S121*H121</f>
        <v>24.97523</v>
      </c>
      <c r="AR121" s="140" t="s">
        <v>185</v>
      </c>
      <c r="AT121" s="140" t="s">
        <v>180</v>
      </c>
      <c r="AU121" s="140" t="s">
        <v>87</v>
      </c>
      <c r="AY121" s="18" t="s">
        <v>177</v>
      </c>
      <c r="BE121" s="141">
        <f>IF(N121="základní",J121,0)</f>
        <v>0</v>
      </c>
      <c r="BF121" s="141">
        <f>IF(N121="snížená",J121,0)</f>
        <v>0</v>
      </c>
      <c r="BG121" s="141">
        <f>IF(N121="zákl. přenesená",J121,0)</f>
        <v>0</v>
      </c>
      <c r="BH121" s="141">
        <f>IF(N121="sníž. přenesená",J121,0)</f>
        <v>0</v>
      </c>
      <c r="BI121" s="141">
        <f>IF(N121="nulová",J121,0)</f>
        <v>0</v>
      </c>
      <c r="BJ121" s="18" t="s">
        <v>85</v>
      </c>
      <c r="BK121" s="141">
        <f>ROUND(I121*H121,2)</f>
        <v>0</v>
      </c>
      <c r="BL121" s="18" t="s">
        <v>185</v>
      </c>
      <c r="BM121" s="140" t="s">
        <v>375</v>
      </c>
    </row>
    <row r="122" spans="2:47" s="1" customFormat="1" ht="19.5">
      <c r="B122" s="33"/>
      <c r="D122" s="142" t="s">
        <v>187</v>
      </c>
      <c r="F122" s="143" t="s">
        <v>376</v>
      </c>
      <c r="I122" s="144"/>
      <c r="L122" s="33"/>
      <c r="M122" s="145"/>
      <c r="T122" s="54"/>
      <c r="AT122" s="18" t="s">
        <v>187</v>
      </c>
      <c r="AU122" s="18" t="s">
        <v>87</v>
      </c>
    </row>
    <row r="123" spans="2:47" s="1" customFormat="1" ht="11.25">
      <c r="B123" s="33"/>
      <c r="D123" s="146" t="s">
        <v>189</v>
      </c>
      <c r="F123" s="147" t="s">
        <v>377</v>
      </c>
      <c r="I123" s="144"/>
      <c r="L123" s="33"/>
      <c r="M123" s="145"/>
      <c r="T123" s="54"/>
      <c r="AT123" s="18" t="s">
        <v>189</v>
      </c>
      <c r="AU123" s="18" t="s">
        <v>87</v>
      </c>
    </row>
    <row r="124" spans="2:47" s="1" customFormat="1" ht="78">
      <c r="B124" s="33"/>
      <c r="D124" s="142" t="s">
        <v>191</v>
      </c>
      <c r="F124" s="148" t="s">
        <v>372</v>
      </c>
      <c r="I124" s="144"/>
      <c r="L124" s="33"/>
      <c r="M124" s="145"/>
      <c r="T124" s="54"/>
      <c r="AT124" s="18" t="s">
        <v>191</v>
      </c>
      <c r="AU124" s="18" t="s">
        <v>87</v>
      </c>
    </row>
    <row r="125" spans="2:65" s="1" customFormat="1" ht="24.2" customHeight="1">
      <c r="B125" s="128"/>
      <c r="C125" s="129" t="s">
        <v>252</v>
      </c>
      <c r="D125" s="129" t="s">
        <v>180</v>
      </c>
      <c r="E125" s="130" t="s">
        <v>378</v>
      </c>
      <c r="F125" s="131" t="s">
        <v>379</v>
      </c>
      <c r="G125" s="132" t="s">
        <v>332</v>
      </c>
      <c r="H125" s="133">
        <v>414.158</v>
      </c>
      <c r="I125" s="134"/>
      <c r="J125" s="135">
        <f>ROUND(I125*H125,2)</f>
        <v>0</v>
      </c>
      <c r="K125" s="131" t="s">
        <v>184</v>
      </c>
      <c r="L125" s="33"/>
      <c r="M125" s="136" t="s">
        <v>3</v>
      </c>
      <c r="N125" s="137" t="s">
        <v>48</v>
      </c>
      <c r="P125" s="138">
        <f>O125*H125</f>
        <v>0</v>
      </c>
      <c r="Q125" s="138">
        <v>0</v>
      </c>
      <c r="R125" s="138">
        <f>Q125*H125</f>
        <v>0</v>
      </c>
      <c r="S125" s="138">
        <v>0</v>
      </c>
      <c r="T125" s="139">
        <f>S125*H125</f>
        <v>0</v>
      </c>
      <c r="AR125" s="140" t="s">
        <v>185</v>
      </c>
      <c r="AT125" s="140" t="s">
        <v>180</v>
      </c>
      <c r="AU125" s="140" t="s">
        <v>87</v>
      </c>
      <c r="AY125" s="18" t="s">
        <v>177</v>
      </c>
      <c r="BE125" s="141">
        <f>IF(N125="základní",J125,0)</f>
        <v>0</v>
      </c>
      <c r="BF125" s="141">
        <f>IF(N125="snížená",J125,0)</f>
        <v>0</v>
      </c>
      <c r="BG125" s="141">
        <f>IF(N125="zákl. přenesená",J125,0)</f>
        <v>0</v>
      </c>
      <c r="BH125" s="141">
        <f>IF(N125="sníž. přenesená",J125,0)</f>
        <v>0</v>
      </c>
      <c r="BI125" s="141">
        <f>IF(N125="nulová",J125,0)</f>
        <v>0</v>
      </c>
      <c r="BJ125" s="18" t="s">
        <v>85</v>
      </c>
      <c r="BK125" s="141">
        <f>ROUND(I125*H125,2)</f>
        <v>0</v>
      </c>
      <c r="BL125" s="18" t="s">
        <v>185</v>
      </c>
      <c r="BM125" s="140" t="s">
        <v>380</v>
      </c>
    </row>
    <row r="126" spans="2:47" s="1" customFormat="1" ht="19.5">
      <c r="B126" s="33"/>
      <c r="D126" s="142" t="s">
        <v>187</v>
      </c>
      <c r="F126" s="143" t="s">
        <v>381</v>
      </c>
      <c r="I126" s="144"/>
      <c r="L126" s="33"/>
      <c r="M126" s="145"/>
      <c r="T126" s="54"/>
      <c r="AT126" s="18" t="s">
        <v>187</v>
      </c>
      <c r="AU126" s="18" t="s">
        <v>87</v>
      </c>
    </row>
    <row r="127" spans="2:47" s="1" customFormat="1" ht="11.25">
      <c r="B127" s="33"/>
      <c r="D127" s="146" t="s">
        <v>189</v>
      </c>
      <c r="F127" s="147" t="s">
        <v>382</v>
      </c>
      <c r="I127" s="144"/>
      <c r="L127" s="33"/>
      <c r="M127" s="145"/>
      <c r="T127" s="54"/>
      <c r="AT127" s="18" t="s">
        <v>189</v>
      </c>
      <c r="AU127" s="18" t="s">
        <v>87</v>
      </c>
    </row>
    <row r="128" spans="2:47" s="1" customFormat="1" ht="78">
      <c r="B128" s="33"/>
      <c r="D128" s="142" t="s">
        <v>191</v>
      </c>
      <c r="F128" s="148" t="s">
        <v>383</v>
      </c>
      <c r="I128" s="144"/>
      <c r="L128" s="33"/>
      <c r="M128" s="145"/>
      <c r="T128" s="54"/>
      <c r="AT128" s="18" t="s">
        <v>191</v>
      </c>
      <c r="AU128" s="18" t="s">
        <v>87</v>
      </c>
    </row>
    <row r="129" spans="2:51" s="12" customFormat="1" ht="11.25">
      <c r="B129" s="149"/>
      <c r="D129" s="142" t="s">
        <v>193</v>
      </c>
      <c r="E129" s="150" t="s">
        <v>3</v>
      </c>
      <c r="F129" s="151" t="s">
        <v>384</v>
      </c>
      <c r="H129" s="152">
        <v>414.158</v>
      </c>
      <c r="I129" s="153"/>
      <c r="L129" s="149"/>
      <c r="M129" s="154"/>
      <c r="T129" s="155"/>
      <c r="AT129" s="150" t="s">
        <v>193</v>
      </c>
      <c r="AU129" s="150" t="s">
        <v>87</v>
      </c>
      <c r="AV129" s="12" t="s">
        <v>87</v>
      </c>
      <c r="AW129" s="12" t="s">
        <v>36</v>
      </c>
      <c r="AX129" s="12" t="s">
        <v>85</v>
      </c>
      <c r="AY129" s="150" t="s">
        <v>177</v>
      </c>
    </row>
    <row r="130" spans="2:65" s="1" customFormat="1" ht="24.2" customHeight="1">
      <c r="B130" s="128"/>
      <c r="C130" s="129" t="s">
        <v>258</v>
      </c>
      <c r="D130" s="129" t="s">
        <v>180</v>
      </c>
      <c r="E130" s="130" t="s">
        <v>385</v>
      </c>
      <c r="F130" s="131" t="s">
        <v>386</v>
      </c>
      <c r="G130" s="132" t="s">
        <v>332</v>
      </c>
      <c r="H130" s="133">
        <v>356.789</v>
      </c>
      <c r="I130" s="134"/>
      <c r="J130" s="135">
        <f>ROUND(I130*H130,2)</f>
        <v>0</v>
      </c>
      <c r="K130" s="131" t="s">
        <v>184</v>
      </c>
      <c r="L130" s="33"/>
      <c r="M130" s="136" t="s">
        <v>3</v>
      </c>
      <c r="N130" s="137" t="s">
        <v>48</v>
      </c>
      <c r="P130" s="138">
        <f>O130*H130</f>
        <v>0</v>
      </c>
      <c r="Q130" s="138">
        <v>0</v>
      </c>
      <c r="R130" s="138">
        <f>Q130*H130</f>
        <v>0</v>
      </c>
      <c r="S130" s="138">
        <v>0</v>
      </c>
      <c r="T130" s="139">
        <f>S130*H130</f>
        <v>0</v>
      </c>
      <c r="AR130" s="140" t="s">
        <v>185</v>
      </c>
      <c r="AT130" s="140" t="s">
        <v>180</v>
      </c>
      <c r="AU130" s="140" t="s">
        <v>87</v>
      </c>
      <c r="AY130" s="18" t="s">
        <v>177</v>
      </c>
      <c r="BE130" s="141">
        <f>IF(N130="základní",J130,0)</f>
        <v>0</v>
      </c>
      <c r="BF130" s="141">
        <f>IF(N130="snížená",J130,0)</f>
        <v>0</v>
      </c>
      <c r="BG130" s="141">
        <f>IF(N130="zákl. přenesená",J130,0)</f>
        <v>0</v>
      </c>
      <c r="BH130" s="141">
        <f>IF(N130="sníž. přenesená",J130,0)</f>
        <v>0</v>
      </c>
      <c r="BI130" s="141">
        <f>IF(N130="nulová",J130,0)</f>
        <v>0</v>
      </c>
      <c r="BJ130" s="18" t="s">
        <v>85</v>
      </c>
      <c r="BK130" s="141">
        <f>ROUND(I130*H130,2)</f>
        <v>0</v>
      </c>
      <c r="BL130" s="18" t="s">
        <v>185</v>
      </c>
      <c r="BM130" s="140" t="s">
        <v>387</v>
      </c>
    </row>
    <row r="131" spans="2:47" s="1" customFormat="1" ht="19.5">
      <c r="B131" s="33"/>
      <c r="D131" s="142" t="s">
        <v>187</v>
      </c>
      <c r="F131" s="143" t="s">
        <v>388</v>
      </c>
      <c r="I131" s="144"/>
      <c r="L131" s="33"/>
      <c r="M131" s="145"/>
      <c r="T131" s="54"/>
      <c r="AT131" s="18" t="s">
        <v>187</v>
      </c>
      <c r="AU131" s="18" t="s">
        <v>87</v>
      </c>
    </row>
    <row r="132" spans="2:47" s="1" customFormat="1" ht="11.25">
      <c r="B132" s="33"/>
      <c r="D132" s="146" t="s">
        <v>189</v>
      </c>
      <c r="F132" s="147" t="s">
        <v>389</v>
      </c>
      <c r="I132" s="144"/>
      <c r="L132" s="33"/>
      <c r="M132" s="145"/>
      <c r="T132" s="54"/>
      <c r="AT132" s="18" t="s">
        <v>189</v>
      </c>
      <c r="AU132" s="18" t="s">
        <v>87</v>
      </c>
    </row>
    <row r="133" spans="2:47" s="1" customFormat="1" ht="78">
      <c r="B133" s="33"/>
      <c r="D133" s="142" t="s">
        <v>191</v>
      </c>
      <c r="F133" s="148" t="s">
        <v>383</v>
      </c>
      <c r="I133" s="144"/>
      <c r="L133" s="33"/>
      <c r="M133" s="145"/>
      <c r="T133" s="54"/>
      <c r="AT133" s="18" t="s">
        <v>191</v>
      </c>
      <c r="AU133" s="18" t="s">
        <v>87</v>
      </c>
    </row>
    <row r="134" spans="2:51" s="12" customFormat="1" ht="11.25">
      <c r="B134" s="149"/>
      <c r="D134" s="142" t="s">
        <v>193</v>
      </c>
      <c r="E134" s="150" t="s">
        <v>3</v>
      </c>
      <c r="F134" s="151" t="s">
        <v>390</v>
      </c>
      <c r="H134" s="152">
        <v>356.789</v>
      </c>
      <c r="I134" s="153"/>
      <c r="L134" s="149"/>
      <c r="M134" s="154"/>
      <c r="T134" s="155"/>
      <c r="AT134" s="150" t="s">
        <v>193</v>
      </c>
      <c r="AU134" s="150" t="s">
        <v>87</v>
      </c>
      <c r="AV134" s="12" t="s">
        <v>87</v>
      </c>
      <c r="AW134" s="12" t="s">
        <v>36</v>
      </c>
      <c r="AX134" s="12" t="s">
        <v>85</v>
      </c>
      <c r="AY134" s="150" t="s">
        <v>177</v>
      </c>
    </row>
    <row r="135" spans="2:65" s="1" customFormat="1" ht="24.2" customHeight="1">
      <c r="B135" s="128"/>
      <c r="C135" s="129" t="s">
        <v>265</v>
      </c>
      <c r="D135" s="129" t="s">
        <v>180</v>
      </c>
      <c r="E135" s="130" t="s">
        <v>391</v>
      </c>
      <c r="F135" s="131" t="s">
        <v>392</v>
      </c>
      <c r="G135" s="132" t="s">
        <v>332</v>
      </c>
      <c r="H135" s="133">
        <v>158.916</v>
      </c>
      <c r="I135" s="134"/>
      <c r="J135" s="135">
        <f>ROUND(I135*H135,2)</f>
        <v>0</v>
      </c>
      <c r="K135" s="131" t="s">
        <v>184</v>
      </c>
      <c r="L135" s="33"/>
      <c r="M135" s="136" t="s">
        <v>3</v>
      </c>
      <c r="N135" s="137" t="s">
        <v>48</v>
      </c>
      <c r="P135" s="138">
        <f>O135*H135</f>
        <v>0</v>
      </c>
      <c r="Q135" s="138">
        <v>0.03885</v>
      </c>
      <c r="R135" s="138">
        <f>Q135*H135</f>
        <v>6.1738866</v>
      </c>
      <c r="S135" s="138">
        <v>0</v>
      </c>
      <c r="T135" s="139">
        <f>S135*H135</f>
        <v>0</v>
      </c>
      <c r="AR135" s="140" t="s">
        <v>185</v>
      </c>
      <c r="AT135" s="140" t="s">
        <v>180</v>
      </c>
      <c r="AU135" s="140" t="s">
        <v>87</v>
      </c>
      <c r="AY135" s="18" t="s">
        <v>177</v>
      </c>
      <c r="BE135" s="141">
        <f>IF(N135="základní",J135,0)</f>
        <v>0</v>
      </c>
      <c r="BF135" s="141">
        <f>IF(N135="snížená",J135,0)</f>
        <v>0</v>
      </c>
      <c r="BG135" s="141">
        <f>IF(N135="zákl. přenesená",J135,0)</f>
        <v>0</v>
      </c>
      <c r="BH135" s="141">
        <f>IF(N135="sníž. přenesená",J135,0)</f>
        <v>0</v>
      </c>
      <c r="BI135" s="141">
        <f>IF(N135="nulová",J135,0)</f>
        <v>0</v>
      </c>
      <c r="BJ135" s="18" t="s">
        <v>85</v>
      </c>
      <c r="BK135" s="141">
        <f>ROUND(I135*H135,2)</f>
        <v>0</v>
      </c>
      <c r="BL135" s="18" t="s">
        <v>185</v>
      </c>
      <c r="BM135" s="140" t="s">
        <v>393</v>
      </c>
    </row>
    <row r="136" spans="2:47" s="1" customFormat="1" ht="19.5">
      <c r="B136" s="33"/>
      <c r="D136" s="142" t="s">
        <v>187</v>
      </c>
      <c r="F136" s="143" t="s">
        <v>394</v>
      </c>
      <c r="I136" s="144"/>
      <c r="L136" s="33"/>
      <c r="M136" s="145"/>
      <c r="T136" s="54"/>
      <c r="AT136" s="18" t="s">
        <v>187</v>
      </c>
      <c r="AU136" s="18" t="s">
        <v>87</v>
      </c>
    </row>
    <row r="137" spans="2:47" s="1" customFormat="1" ht="11.25">
      <c r="B137" s="33"/>
      <c r="D137" s="146" t="s">
        <v>189</v>
      </c>
      <c r="F137" s="147" t="s">
        <v>395</v>
      </c>
      <c r="I137" s="144"/>
      <c r="L137" s="33"/>
      <c r="M137" s="145"/>
      <c r="T137" s="54"/>
      <c r="AT137" s="18" t="s">
        <v>189</v>
      </c>
      <c r="AU137" s="18" t="s">
        <v>87</v>
      </c>
    </row>
    <row r="138" spans="2:47" s="1" customFormat="1" ht="165.75">
      <c r="B138" s="33"/>
      <c r="D138" s="142" t="s">
        <v>191</v>
      </c>
      <c r="F138" s="148" t="s">
        <v>396</v>
      </c>
      <c r="I138" s="144"/>
      <c r="L138" s="33"/>
      <c r="M138" s="145"/>
      <c r="T138" s="54"/>
      <c r="AT138" s="18" t="s">
        <v>191</v>
      </c>
      <c r="AU138" s="18" t="s">
        <v>87</v>
      </c>
    </row>
    <row r="139" spans="2:51" s="13" customFormat="1" ht="11.25">
      <c r="B139" s="156"/>
      <c r="D139" s="142" t="s">
        <v>193</v>
      </c>
      <c r="E139" s="157" t="s">
        <v>3</v>
      </c>
      <c r="F139" s="158" t="s">
        <v>397</v>
      </c>
      <c r="H139" s="157" t="s">
        <v>3</v>
      </c>
      <c r="I139" s="159"/>
      <c r="L139" s="156"/>
      <c r="M139" s="160"/>
      <c r="T139" s="161"/>
      <c r="AT139" s="157" t="s">
        <v>193</v>
      </c>
      <c r="AU139" s="157" t="s">
        <v>87</v>
      </c>
      <c r="AV139" s="13" t="s">
        <v>85</v>
      </c>
      <c r="AW139" s="13" t="s">
        <v>36</v>
      </c>
      <c r="AX139" s="13" t="s">
        <v>77</v>
      </c>
      <c r="AY139" s="157" t="s">
        <v>177</v>
      </c>
    </row>
    <row r="140" spans="2:51" s="12" customFormat="1" ht="11.25">
      <c r="B140" s="149"/>
      <c r="D140" s="142" t="s">
        <v>193</v>
      </c>
      <c r="E140" s="150" t="s">
        <v>3</v>
      </c>
      <c r="F140" s="151" t="s">
        <v>398</v>
      </c>
      <c r="H140" s="152">
        <v>13.385</v>
      </c>
      <c r="I140" s="153"/>
      <c r="L140" s="149"/>
      <c r="M140" s="154"/>
      <c r="T140" s="155"/>
      <c r="AT140" s="150" t="s">
        <v>193</v>
      </c>
      <c r="AU140" s="150" t="s">
        <v>87</v>
      </c>
      <c r="AV140" s="12" t="s">
        <v>87</v>
      </c>
      <c r="AW140" s="12" t="s">
        <v>36</v>
      </c>
      <c r="AX140" s="12" t="s">
        <v>77</v>
      </c>
      <c r="AY140" s="150" t="s">
        <v>177</v>
      </c>
    </row>
    <row r="141" spans="2:51" s="12" customFormat="1" ht="33.75">
      <c r="B141" s="149"/>
      <c r="D141" s="142" t="s">
        <v>193</v>
      </c>
      <c r="E141" s="150" t="s">
        <v>3</v>
      </c>
      <c r="F141" s="151" t="s">
        <v>399</v>
      </c>
      <c r="H141" s="152">
        <v>26.822</v>
      </c>
      <c r="I141" s="153"/>
      <c r="L141" s="149"/>
      <c r="M141" s="154"/>
      <c r="T141" s="155"/>
      <c r="AT141" s="150" t="s">
        <v>193</v>
      </c>
      <c r="AU141" s="150" t="s">
        <v>87</v>
      </c>
      <c r="AV141" s="12" t="s">
        <v>87</v>
      </c>
      <c r="AW141" s="12" t="s">
        <v>36</v>
      </c>
      <c r="AX141" s="12" t="s">
        <v>77</v>
      </c>
      <c r="AY141" s="150" t="s">
        <v>177</v>
      </c>
    </row>
    <row r="142" spans="2:51" s="12" customFormat="1" ht="33.75">
      <c r="B142" s="149"/>
      <c r="D142" s="142" t="s">
        <v>193</v>
      </c>
      <c r="E142" s="150" t="s">
        <v>3</v>
      </c>
      <c r="F142" s="151" t="s">
        <v>400</v>
      </c>
      <c r="H142" s="152">
        <v>21.221</v>
      </c>
      <c r="I142" s="153"/>
      <c r="L142" s="149"/>
      <c r="M142" s="154"/>
      <c r="T142" s="155"/>
      <c r="AT142" s="150" t="s">
        <v>193</v>
      </c>
      <c r="AU142" s="150" t="s">
        <v>87</v>
      </c>
      <c r="AV142" s="12" t="s">
        <v>87</v>
      </c>
      <c r="AW142" s="12" t="s">
        <v>36</v>
      </c>
      <c r="AX142" s="12" t="s">
        <v>77</v>
      </c>
      <c r="AY142" s="150" t="s">
        <v>177</v>
      </c>
    </row>
    <row r="143" spans="2:51" s="14" customFormat="1" ht="11.25">
      <c r="B143" s="162"/>
      <c r="D143" s="142" t="s">
        <v>193</v>
      </c>
      <c r="E143" s="163" t="s">
        <v>3</v>
      </c>
      <c r="F143" s="164" t="s">
        <v>197</v>
      </c>
      <c r="H143" s="165">
        <v>61.428</v>
      </c>
      <c r="I143" s="166"/>
      <c r="L143" s="162"/>
      <c r="M143" s="167"/>
      <c r="T143" s="168"/>
      <c r="AT143" s="163" t="s">
        <v>193</v>
      </c>
      <c r="AU143" s="163" t="s">
        <v>87</v>
      </c>
      <c r="AV143" s="14" t="s">
        <v>198</v>
      </c>
      <c r="AW143" s="14" t="s">
        <v>36</v>
      </c>
      <c r="AX143" s="14" t="s">
        <v>77</v>
      </c>
      <c r="AY143" s="163" t="s">
        <v>177</v>
      </c>
    </row>
    <row r="144" spans="2:51" s="13" customFormat="1" ht="22.5">
      <c r="B144" s="156"/>
      <c r="D144" s="142" t="s">
        <v>193</v>
      </c>
      <c r="E144" s="157" t="s">
        <v>3</v>
      </c>
      <c r="F144" s="158" t="s">
        <v>401</v>
      </c>
      <c r="H144" s="157" t="s">
        <v>3</v>
      </c>
      <c r="I144" s="159"/>
      <c r="L144" s="156"/>
      <c r="M144" s="160"/>
      <c r="T144" s="161"/>
      <c r="AT144" s="157" t="s">
        <v>193</v>
      </c>
      <c r="AU144" s="157" t="s">
        <v>87</v>
      </c>
      <c r="AV144" s="13" t="s">
        <v>85</v>
      </c>
      <c r="AW144" s="13" t="s">
        <v>36</v>
      </c>
      <c r="AX144" s="13" t="s">
        <v>77</v>
      </c>
      <c r="AY144" s="157" t="s">
        <v>177</v>
      </c>
    </row>
    <row r="145" spans="2:51" s="12" customFormat="1" ht="11.25">
      <c r="B145" s="149"/>
      <c r="D145" s="142" t="s">
        <v>193</v>
      </c>
      <c r="E145" s="150" t="s">
        <v>3</v>
      </c>
      <c r="F145" s="151" t="s">
        <v>402</v>
      </c>
      <c r="H145" s="152">
        <v>25.44</v>
      </c>
      <c r="I145" s="153"/>
      <c r="L145" s="149"/>
      <c r="M145" s="154"/>
      <c r="T145" s="155"/>
      <c r="AT145" s="150" t="s">
        <v>193</v>
      </c>
      <c r="AU145" s="150" t="s">
        <v>87</v>
      </c>
      <c r="AV145" s="12" t="s">
        <v>87</v>
      </c>
      <c r="AW145" s="12" t="s">
        <v>36</v>
      </c>
      <c r="AX145" s="12" t="s">
        <v>77</v>
      </c>
      <c r="AY145" s="150" t="s">
        <v>177</v>
      </c>
    </row>
    <row r="146" spans="2:51" s="12" customFormat="1" ht="11.25">
      <c r="B146" s="149"/>
      <c r="D146" s="142" t="s">
        <v>193</v>
      </c>
      <c r="E146" s="150" t="s">
        <v>3</v>
      </c>
      <c r="F146" s="151" t="s">
        <v>403</v>
      </c>
      <c r="H146" s="152">
        <v>34.128</v>
      </c>
      <c r="I146" s="153"/>
      <c r="L146" s="149"/>
      <c r="M146" s="154"/>
      <c r="T146" s="155"/>
      <c r="AT146" s="150" t="s">
        <v>193</v>
      </c>
      <c r="AU146" s="150" t="s">
        <v>87</v>
      </c>
      <c r="AV146" s="12" t="s">
        <v>87</v>
      </c>
      <c r="AW146" s="12" t="s">
        <v>36</v>
      </c>
      <c r="AX146" s="12" t="s">
        <v>77</v>
      </c>
      <c r="AY146" s="150" t="s">
        <v>177</v>
      </c>
    </row>
    <row r="147" spans="2:51" s="12" customFormat="1" ht="11.25">
      <c r="B147" s="149"/>
      <c r="D147" s="142" t="s">
        <v>193</v>
      </c>
      <c r="E147" s="150" t="s">
        <v>3</v>
      </c>
      <c r="F147" s="151" t="s">
        <v>404</v>
      </c>
      <c r="H147" s="152">
        <v>37.92</v>
      </c>
      <c r="I147" s="153"/>
      <c r="L147" s="149"/>
      <c r="M147" s="154"/>
      <c r="T147" s="155"/>
      <c r="AT147" s="150" t="s">
        <v>193</v>
      </c>
      <c r="AU147" s="150" t="s">
        <v>87</v>
      </c>
      <c r="AV147" s="12" t="s">
        <v>87</v>
      </c>
      <c r="AW147" s="12" t="s">
        <v>36</v>
      </c>
      <c r="AX147" s="12" t="s">
        <v>77</v>
      </c>
      <c r="AY147" s="150" t="s">
        <v>177</v>
      </c>
    </row>
    <row r="148" spans="2:51" s="14" customFormat="1" ht="11.25">
      <c r="B148" s="162"/>
      <c r="D148" s="142" t="s">
        <v>193</v>
      </c>
      <c r="E148" s="163" t="s">
        <v>3</v>
      </c>
      <c r="F148" s="164" t="s">
        <v>197</v>
      </c>
      <c r="H148" s="165">
        <v>97.488</v>
      </c>
      <c r="I148" s="166"/>
      <c r="L148" s="162"/>
      <c r="M148" s="167"/>
      <c r="T148" s="168"/>
      <c r="AT148" s="163" t="s">
        <v>193</v>
      </c>
      <c r="AU148" s="163" t="s">
        <v>87</v>
      </c>
      <c r="AV148" s="14" t="s">
        <v>198</v>
      </c>
      <c r="AW148" s="14" t="s">
        <v>36</v>
      </c>
      <c r="AX148" s="14" t="s">
        <v>77</v>
      </c>
      <c r="AY148" s="163" t="s">
        <v>177</v>
      </c>
    </row>
    <row r="149" spans="2:51" s="15" customFormat="1" ht="11.25">
      <c r="B149" s="169"/>
      <c r="D149" s="142" t="s">
        <v>193</v>
      </c>
      <c r="E149" s="170" t="s">
        <v>3</v>
      </c>
      <c r="F149" s="171" t="s">
        <v>201</v>
      </c>
      <c r="H149" s="172">
        <v>158.916</v>
      </c>
      <c r="I149" s="173"/>
      <c r="L149" s="169"/>
      <c r="M149" s="174"/>
      <c r="T149" s="175"/>
      <c r="AT149" s="170" t="s">
        <v>193</v>
      </c>
      <c r="AU149" s="170" t="s">
        <v>87</v>
      </c>
      <c r="AV149" s="15" t="s">
        <v>185</v>
      </c>
      <c r="AW149" s="15" t="s">
        <v>36</v>
      </c>
      <c r="AX149" s="15" t="s">
        <v>85</v>
      </c>
      <c r="AY149" s="170" t="s">
        <v>177</v>
      </c>
    </row>
    <row r="150" spans="2:65" s="1" customFormat="1" ht="24.2" customHeight="1">
      <c r="B150" s="128"/>
      <c r="C150" s="129" t="s">
        <v>271</v>
      </c>
      <c r="D150" s="129" t="s">
        <v>180</v>
      </c>
      <c r="E150" s="130" t="s">
        <v>405</v>
      </c>
      <c r="F150" s="131" t="s">
        <v>406</v>
      </c>
      <c r="G150" s="132" t="s">
        <v>332</v>
      </c>
      <c r="H150" s="133">
        <v>255.242</v>
      </c>
      <c r="I150" s="134"/>
      <c r="J150" s="135">
        <f>ROUND(I150*H150,2)</f>
        <v>0</v>
      </c>
      <c r="K150" s="131" t="s">
        <v>184</v>
      </c>
      <c r="L150" s="33"/>
      <c r="M150" s="136" t="s">
        <v>3</v>
      </c>
      <c r="N150" s="137" t="s">
        <v>48</v>
      </c>
      <c r="P150" s="138">
        <f>O150*H150</f>
        <v>0</v>
      </c>
      <c r="Q150" s="138">
        <v>0.08057</v>
      </c>
      <c r="R150" s="138">
        <f>Q150*H150</f>
        <v>20.56484794</v>
      </c>
      <c r="S150" s="138">
        <v>0</v>
      </c>
      <c r="T150" s="139">
        <f>S150*H150</f>
        <v>0</v>
      </c>
      <c r="AR150" s="140" t="s">
        <v>185</v>
      </c>
      <c r="AT150" s="140" t="s">
        <v>180</v>
      </c>
      <c r="AU150" s="140" t="s">
        <v>87</v>
      </c>
      <c r="AY150" s="18" t="s">
        <v>177</v>
      </c>
      <c r="BE150" s="141">
        <f>IF(N150="základní",J150,0)</f>
        <v>0</v>
      </c>
      <c r="BF150" s="141">
        <f>IF(N150="snížená",J150,0)</f>
        <v>0</v>
      </c>
      <c r="BG150" s="141">
        <f>IF(N150="zákl. přenesená",J150,0)</f>
        <v>0</v>
      </c>
      <c r="BH150" s="141">
        <f>IF(N150="sníž. přenesená",J150,0)</f>
        <v>0</v>
      </c>
      <c r="BI150" s="141">
        <f>IF(N150="nulová",J150,0)</f>
        <v>0</v>
      </c>
      <c r="BJ150" s="18" t="s">
        <v>85</v>
      </c>
      <c r="BK150" s="141">
        <f>ROUND(I150*H150,2)</f>
        <v>0</v>
      </c>
      <c r="BL150" s="18" t="s">
        <v>185</v>
      </c>
      <c r="BM150" s="140" t="s">
        <v>407</v>
      </c>
    </row>
    <row r="151" spans="2:47" s="1" customFormat="1" ht="19.5">
      <c r="B151" s="33"/>
      <c r="D151" s="142" t="s">
        <v>187</v>
      </c>
      <c r="F151" s="143" t="s">
        <v>408</v>
      </c>
      <c r="I151" s="144"/>
      <c r="L151" s="33"/>
      <c r="M151" s="145"/>
      <c r="T151" s="54"/>
      <c r="AT151" s="18" t="s">
        <v>187</v>
      </c>
      <c r="AU151" s="18" t="s">
        <v>87</v>
      </c>
    </row>
    <row r="152" spans="2:47" s="1" customFormat="1" ht="11.25">
      <c r="B152" s="33"/>
      <c r="D152" s="146" t="s">
        <v>189</v>
      </c>
      <c r="F152" s="147" t="s">
        <v>409</v>
      </c>
      <c r="I152" s="144"/>
      <c r="L152" s="33"/>
      <c r="M152" s="145"/>
      <c r="T152" s="54"/>
      <c r="AT152" s="18" t="s">
        <v>189</v>
      </c>
      <c r="AU152" s="18" t="s">
        <v>87</v>
      </c>
    </row>
    <row r="153" spans="2:47" s="1" customFormat="1" ht="165.75">
      <c r="B153" s="33"/>
      <c r="D153" s="142" t="s">
        <v>191</v>
      </c>
      <c r="F153" s="148" t="s">
        <v>396</v>
      </c>
      <c r="I153" s="144"/>
      <c r="L153" s="33"/>
      <c r="M153" s="145"/>
      <c r="T153" s="54"/>
      <c r="AT153" s="18" t="s">
        <v>191</v>
      </c>
      <c r="AU153" s="18" t="s">
        <v>87</v>
      </c>
    </row>
    <row r="154" spans="2:51" s="13" customFormat="1" ht="11.25">
      <c r="B154" s="156"/>
      <c r="D154" s="142" t="s">
        <v>193</v>
      </c>
      <c r="E154" s="157" t="s">
        <v>3</v>
      </c>
      <c r="F154" s="158" t="s">
        <v>410</v>
      </c>
      <c r="H154" s="157" t="s">
        <v>3</v>
      </c>
      <c r="I154" s="159"/>
      <c r="L154" s="156"/>
      <c r="M154" s="160"/>
      <c r="T154" s="161"/>
      <c r="AT154" s="157" t="s">
        <v>193</v>
      </c>
      <c r="AU154" s="157" t="s">
        <v>87</v>
      </c>
      <c r="AV154" s="13" t="s">
        <v>85</v>
      </c>
      <c r="AW154" s="13" t="s">
        <v>36</v>
      </c>
      <c r="AX154" s="13" t="s">
        <v>77</v>
      </c>
      <c r="AY154" s="157" t="s">
        <v>177</v>
      </c>
    </row>
    <row r="155" spans="2:51" s="12" customFormat="1" ht="11.25">
      <c r="B155" s="149"/>
      <c r="D155" s="142" t="s">
        <v>193</v>
      </c>
      <c r="E155" s="150" t="s">
        <v>3</v>
      </c>
      <c r="F155" s="151" t="s">
        <v>411</v>
      </c>
      <c r="H155" s="152">
        <v>33.463</v>
      </c>
      <c r="I155" s="153"/>
      <c r="L155" s="149"/>
      <c r="M155" s="154"/>
      <c r="T155" s="155"/>
      <c r="AT155" s="150" t="s">
        <v>193</v>
      </c>
      <c r="AU155" s="150" t="s">
        <v>87</v>
      </c>
      <c r="AV155" s="12" t="s">
        <v>87</v>
      </c>
      <c r="AW155" s="12" t="s">
        <v>36</v>
      </c>
      <c r="AX155" s="12" t="s">
        <v>77</v>
      </c>
      <c r="AY155" s="150" t="s">
        <v>177</v>
      </c>
    </row>
    <row r="156" spans="2:51" s="12" customFormat="1" ht="33.75">
      <c r="B156" s="149"/>
      <c r="D156" s="142" t="s">
        <v>193</v>
      </c>
      <c r="E156" s="150" t="s">
        <v>3</v>
      </c>
      <c r="F156" s="151" t="s">
        <v>412</v>
      </c>
      <c r="H156" s="152">
        <v>56.678</v>
      </c>
      <c r="I156" s="153"/>
      <c r="L156" s="149"/>
      <c r="M156" s="154"/>
      <c r="T156" s="155"/>
      <c r="AT156" s="150" t="s">
        <v>193</v>
      </c>
      <c r="AU156" s="150" t="s">
        <v>87</v>
      </c>
      <c r="AV156" s="12" t="s">
        <v>87</v>
      </c>
      <c r="AW156" s="12" t="s">
        <v>36</v>
      </c>
      <c r="AX156" s="12" t="s">
        <v>77</v>
      </c>
      <c r="AY156" s="150" t="s">
        <v>177</v>
      </c>
    </row>
    <row r="157" spans="2:51" s="12" customFormat="1" ht="33.75">
      <c r="B157" s="149"/>
      <c r="D157" s="142" t="s">
        <v>193</v>
      </c>
      <c r="E157" s="150" t="s">
        <v>3</v>
      </c>
      <c r="F157" s="151" t="s">
        <v>413</v>
      </c>
      <c r="H157" s="152">
        <v>67.613</v>
      </c>
      <c r="I157" s="153"/>
      <c r="L157" s="149"/>
      <c r="M157" s="154"/>
      <c r="T157" s="155"/>
      <c r="AT157" s="150" t="s">
        <v>193</v>
      </c>
      <c r="AU157" s="150" t="s">
        <v>87</v>
      </c>
      <c r="AV157" s="12" t="s">
        <v>87</v>
      </c>
      <c r="AW157" s="12" t="s">
        <v>36</v>
      </c>
      <c r="AX157" s="12" t="s">
        <v>77</v>
      </c>
      <c r="AY157" s="150" t="s">
        <v>177</v>
      </c>
    </row>
    <row r="158" spans="2:51" s="14" customFormat="1" ht="11.25">
      <c r="B158" s="162"/>
      <c r="D158" s="142" t="s">
        <v>193</v>
      </c>
      <c r="E158" s="163" t="s">
        <v>3</v>
      </c>
      <c r="F158" s="164" t="s">
        <v>197</v>
      </c>
      <c r="H158" s="165">
        <v>157.754</v>
      </c>
      <c r="I158" s="166"/>
      <c r="L158" s="162"/>
      <c r="M158" s="167"/>
      <c r="T158" s="168"/>
      <c r="AT158" s="163" t="s">
        <v>193</v>
      </c>
      <c r="AU158" s="163" t="s">
        <v>87</v>
      </c>
      <c r="AV158" s="14" t="s">
        <v>198</v>
      </c>
      <c r="AW158" s="14" t="s">
        <v>36</v>
      </c>
      <c r="AX158" s="14" t="s">
        <v>77</v>
      </c>
      <c r="AY158" s="163" t="s">
        <v>177</v>
      </c>
    </row>
    <row r="159" spans="2:51" s="13" customFormat="1" ht="22.5">
      <c r="B159" s="156"/>
      <c r="D159" s="142" t="s">
        <v>193</v>
      </c>
      <c r="E159" s="157" t="s">
        <v>3</v>
      </c>
      <c r="F159" s="158" t="s">
        <v>414</v>
      </c>
      <c r="H159" s="157" t="s">
        <v>3</v>
      </c>
      <c r="I159" s="159"/>
      <c r="L159" s="156"/>
      <c r="M159" s="160"/>
      <c r="T159" s="161"/>
      <c r="AT159" s="157" t="s">
        <v>193</v>
      </c>
      <c r="AU159" s="157" t="s">
        <v>87</v>
      </c>
      <c r="AV159" s="13" t="s">
        <v>85</v>
      </c>
      <c r="AW159" s="13" t="s">
        <v>36</v>
      </c>
      <c r="AX159" s="13" t="s">
        <v>77</v>
      </c>
      <c r="AY159" s="157" t="s">
        <v>177</v>
      </c>
    </row>
    <row r="160" spans="2:51" s="12" customFormat="1" ht="11.25">
      <c r="B160" s="149"/>
      <c r="D160" s="142" t="s">
        <v>193</v>
      </c>
      <c r="E160" s="150" t="s">
        <v>3</v>
      </c>
      <c r="F160" s="151" t="s">
        <v>415</v>
      </c>
      <c r="H160" s="152">
        <v>25.44</v>
      </c>
      <c r="I160" s="153"/>
      <c r="L160" s="149"/>
      <c r="M160" s="154"/>
      <c r="T160" s="155"/>
      <c r="AT160" s="150" t="s">
        <v>193</v>
      </c>
      <c r="AU160" s="150" t="s">
        <v>87</v>
      </c>
      <c r="AV160" s="12" t="s">
        <v>87</v>
      </c>
      <c r="AW160" s="12" t="s">
        <v>36</v>
      </c>
      <c r="AX160" s="12" t="s">
        <v>77</v>
      </c>
      <c r="AY160" s="150" t="s">
        <v>177</v>
      </c>
    </row>
    <row r="161" spans="2:51" s="12" customFormat="1" ht="11.25">
      <c r="B161" s="149"/>
      <c r="D161" s="142" t="s">
        <v>193</v>
      </c>
      <c r="E161" s="150" t="s">
        <v>3</v>
      </c>
      <c r="F161" s="151" t="s">
        <v>416</v>
      </c>
      <c r="H161" s="152">
        <v>34.128</v>
      </c>
      <c r="I161" s="153"/>
      <c r="L161" s="149"/>
      <c r="M161" s="154"/>
      <c r="T161" s="155"/>
      <c r="AT161" s="150" t="s">
        <v>193</v>
      </c>
      <c r="AU161" s="150" t="s">
        <v>87</v>
      </c>
      <c r="AV161" s="12" t="s">
        <v>87</v>
      </c>
      <c r="AW161" s="12" t="s">
        <v>36</v>
      </c>
      <c r="AX161" s="12" t="s">
        <v>77</v>
      </c>
      <c r="AY161" s="150" t="s">
        <v>177</v>
      </c>
    </row>
    <row r="162" spans="2:51" s="12" customFormat="1" ht="11.25">
      <c r="B162" s="149"/>
      <c r="D162" s="142" t="s">
        <v>193</v>
      </c>
      <c r="E162" s="150" t="s">
        <v>3</v>
      </c>
      <c r="F162" s="151" t="s">
        <v>417</v>
      </c>
      <c r="H162" s="152">
        <v>37.92</v>
      </c>
      <c r="I162" s="153"/>
      <c r="L162" s="149"/>
      <c r="M162" s="154"/>
      <c r="T162" s="155"/>
      <c r="AT162" s="150" t="s">
        <v>193</v>
      </c>
      <c r="AU162" s="150" t="s">
        <v>87</v>
      </c>
      <c r="AV162" s="12" t="s">
        <v>87</v>
      </c>
      <c r="AW162" s="12" t="s">
        <v>36</v>
      </c>
      <c r="AX162" s="12" t="s">
        <v>77</v>
      </c>
      <c r="AY162" s="150" t="s">
        <v>177</v>
      </c>
    </row>
    <row r="163" spans="2:51" s="14" customFormat="1" ht="11.25">
      <c r="B163" s="162"/>
      <c r="D163" s="142" t="s">
        <v>193</v>
      </c>
      <c r="E163" s="163" t="s">
        <v>3</v>
      </c>
      <c r="F163" s="164" t="s">
        <v>197</v>
      </c>
      <c r="H163" s="165">
        <v>97.488</v>
      </c>
      <c r="I163" s="166"/>
      <c r="L163" s="162"/>
      <c r="M163" s="167"/>
      <c r="T163" s="168"/>
      <c r="AT163" s="163" t="s">
        <v>193</v>
      </c>
      <c r="AU163" s="163" t="s">
        <v>87</v>
      </c>
      <c r="AV163" s="14" t="s">
        <v>198</v>
      </c>
      <c r="AW163" s="14" t="s">
        <v>36</v>
      </c>
      <c r="AX163" s="14" t="s">
        <v>77</v>
      </c>
      <c r="AY163" s="163" t="s">
        <v>177</v>
      </c>
    </row>
    <row r="164" spans="2:51" s="15" customFormat="1" ht="11.25">
      <c r="B164" s="169"/>
      <c r="D164" s="142" t="s">
        <v>193</v>
      </c>
      <c r="E164" s="170" t="s">
        <v>3</v>
      </c>
      <c r="F164" s="171" t="s">
        <v>201</v>
      </c>
      <c r="H164" s="172">
        <v>255.24200000000002</v>
      </c>
      <c r="I164" s="173"/>
      <c r="L164" s="169"/>
      <c r="M164" s="174"/>
      <c r="T164" s="175"/>
      <c r="AT164" s="170" t="s">
        <v>193</v>
      </c>
      <c r="AU164" s="170" t="s">
        <v>87</v>
      </c>
      <c r="AV164" s="15" t="s">
        <v>185</v>
      </c>
      <c r="AW164" s="15" t="s">
        <v>36</v>
      </c>
      <c r="AX164" s="15" t="s">
        <v>85</v>
      </c>
      <c r="AY164" s="170" t="s">
        <v>177</v>
      </c>
    </row>
    <row r="165" spans="2:65" s="1" customFormat="1" ht="24.2" customHeight="1">
      <c r="B165" s="128"/>
      <c r="C165" s="129" t="s">
        <v>277</v>
      </c>
      <c r="D165" s="129" t="s">
        <v>180</v>
      </c>
      <c r="E165" s="130" t="s">
        <v>418</v>
      </c>
      <c r="F165" s="131" t="s">
        <v>419</v>
      </c>
      <c r="G165" s="132" t="s">
        <v>332</v>
      </c>
      <c r="H165" s="133">
        <v>133.796</v>
      </c>
      <c r="I165" s="134"/>
      <c r="J165" s="135">
        <f>ROUND(I165*H165,2)</f>
        <v>0</v>
      </c>
      <c r="K165" s="131" t="s">
        <v>184</v>
      </c>
      <c r="L165" s="33"/>
      <c r="M165" s="136" t="s">
        <v>3</v>
      </c>
      <c r="N165" s="137" t="s">
        <v>48</v>
      </c>
      <c r="P165" s="138">
        <f>O165*H165</f>
        <v>0</v>
      </c>
      <c r="Q165" s="138">
        <v>0.0422</v>
      </c>
      <c r="R165" s="138">
        <f>Q165*H165</f>
        <v>5.6461912</v>
      </c>
      <c r="S165" s="138">
        <v>0</v>
      </c>
      <c r="T165" s="139">
        <f>S165*H165</f>
        <v>0</v>
      </c>
      <c r="AR165" s="140" t="s">
        <v>185</v>
      </c>
      <c r="AT165" s="140" t="s">
        <v>180</v>
      </c>
      <c r="AU165" s="140" t="s">
        <v>87</v>
      </c>
      <c r="AY165" s="18" t="s">
        <v>177</v>
      </c>
      <c r="BE165" s="141">
        <f>IF(N165="základní",J165,0)</f>
        <v>0</v>
      </c>
      <c r="BF165" s="141">
        <f>IF(N165="snížená",J165,0)</f>
        <v>0</v>
      </c>
      <c r="BG165" s="141">
        <f>IF(N165="zákl. přenesená",J165,0)</f>
        <v>0</v>
      </c>
      <c r="BH165" s="141">
        <f>IF(N165="sníž. přenesená",J165,0)</f>
        <v>0</v>
      </c>
      <c r="BI165" s="141">
        <f>IF(N165="nulová",J165,0)</f>
        <v>0</v>
      </c>
      <c r="BJ165" s="18" t="s">
        <v>85</v>
      </c>
      <c r="BK165" s="141">
        <f>ROUND(I165*H165,2)</f>
        <v>0</v>
      </c>
      <c r="BL165" s="18" t="s">
        <v>185</v>
      </c>
      <c r="BM165" s="140" t="s">
        <v>420</v>
      </c>
    </row>
    <row r="166" spans="2:47" s="1" customFormat="1" ht="19.5">
      <c r="B166" s="33"/>
      <c r="D166" s="142" t="s">
        <v>187</v>
      </c>
      <c r="F166" s="143" t="s">
        <v>421</v>
      </c>
      <c r="I166" s="144"/>
      <c r="L166" s="33"/>
      <c r="M166" s="145"/>
      <c r="T166" s="54"/>
      <c r="AT166" s="18" t="s">
        <v>187</v>
      </c>
      <c r="AU166" s="18" t="s">
        <v>87</v>
      </c>
    </row>
    <row r="167" spans="2:47" s="1" customFormat="1" ht="11.25">
      <c r="B167" s="33"/>
      <c r="D167" s="146" t="s">
        <v>189</v>
      </c>
      <c r="F167" s="147" t="s">
        <v>422</v>
      </c>
      <c r="I167" s="144"/>
      <c r="L167" s="33"/>
      <c r="M167" s="145"/>
      <c r="T167" s="54"/>
      <c r="AT167" s="18" t="s">
        <v>189</v>
      </c>
      <c r="AU167" s="18" t="s">
        <v>87</v>
      </c>
    </row>
    <row r="168" spans="2:47" s="1" customFormat="1" ht="165.75">
      <c r="B168" s="33"/>
      <c r="D168" s="142" t="s">
        <v>191</v>
      </c>
      <c r="F168" s="148" t="s">
        <v>396</v>
      </c>
      <c r="I168" s="144"/>
      <c r="L168" s="33"/>
      <c r="M168" s="145"/>
      <c r="T168" s="54"/>
      <c r="AT168" s="18" t="s">
        <v>191</v>
      </c>
      <c r="AU168" s="18" t="s">
        <v>87</v>
      </c>
    </row>
    <row r="169" spans="2:51" s="13" customFormat="1" ht="11.25">
      <c r="B169" s="156"/>
      <c r="D169" s="142" t="s">
        <v>193</v>
      </c>
      <c r="E169" s="157" t="s">
        <v>3</v>
      </c>
      <c r="F169" s="158" t="s">
        <v>423</v>
      </c>
      <c r="H169" s="157" t="s">
        <v>3</v>
      </c>
      <c r="I169" s="159"/>
      <c r="L169" s="156"/>
      <c r="M169" s="160"/>
      <c r="T169" s="161"/>
      <c r="AT169" s="157" t="s">
        <v>193</v>
      </c>
      <c r="AU169" s="157" t="s">
        <v>87</v>
      </c>
      <c r="AV169" s="13" t="s">
        <v>85</v>
      </c>
      <c r="AW169" s="13" t="s">
        <v>36</v>
      </c>
      <c r="AX169" s="13" t="s">
        <v>77</v>
      </c>
      <c r="AY169" s="157" t="s">
        <v>177</v>
      </c>
    </row>
    <row r="170" spans="2:51" s="12" customFormat="1" ht="11.25">
      <c r="B170" s="149"/>
      <c r="D170" s="142" t="s">
        <v>193</v>
      </c>
      <c r="E170" s="150" t="s">
        <v>3</v>
      </c>
      <c r="F170" s="151" t="s">
        <v>424</v>
      </c>
      <c r="H170" s="152">
        <v>46.894</v>
      </c>
      <c r="I170" s="153"/>
      <c r="L170" s="149"/>
      <c r="M170" s="154"/>
      <c r="T170" s="155"/>
      <c r="AT170" s="150" t="s">
        <v>193</v>
      </c>
      <c r="AU170" s="150" t="s">
        <v>87</v>
      </c>
      <c r="AV170" s="12" t="s">
        <v>87</v>
      </c>
      <c r="AW170" s="12" t="s">
        <v>36</v>
      </c>
      <c r="AX170" s="12" t="s">
        <v>77</v>
      </c>
      <c r="AY170" s="150" t="s">
        <v>177</v>
      </c>
    </row>
    <row r="171" spans="2:51" s="12" customFormat="1" ht="11.25">
      <c r="B171" s="149"/>
      <c r="D171" s="142" t="s">
        <v>193</v>
      </c>
      <c r="E171" s="150" t="s">
        <v>3</v>
      </c>
      <c r="F171" s="151" t="s">
        <v>425</v>
      </c>
      <c r="H171" s="152">
        <v>40.258</v>
      </c>
      <c r="I171" s="153"/>
      <c r="L171" s="149"/>
      <c r="M171" s="154"/>
      <c r="T171" s="155"/>
      <c r="AT171" s="150" t="s">
        <v>193</v>
      </c>
      <c r="AU171" s="150" t="s">
        <v>87</v>
      </c>
      <c r="AV171" s="12" t="s">
        <v>87</v>
      </c>
      <c r="AW171" s="12" t="s">
        <v>36</v>
      </c>
      <c r="AX171" s="12" t="s">
        <v>77</v>
      </c>
      <c r="AY171" s="150" t="s">
        <v>177</v>
      </c>
    </row>
    <row r="172" spans="2:51" s="12" customFormat="1" ht="11.25">
      <c r="B172" s="149"/>
      <c r="D172" s="142" t="s">
        <v>193</v>
      </c>
      <c r="E172" s="150" t="s">
        <v>3</v>
      </c>
      <c r="F172" s="151" t="s">
        <v>426</v>
      </c>
      <c r="H172" s="152">
        <v>46.644</v>
      </c>
      <c r="I172" s="153"/>
      <c r="L172" s="149"/>
      <c r="M172" s="154"/>
      <c r="T172" s="155"/>
      <c r="AT172" s="150" t="s">
        <v>193</v>
      </c>
      <c r="AU172" s="150" t="s">
        <v>87</v>
      </c>
      <c r="AV172" s="12" t="s">
        <v>87</v>
      </c>
      <c r="AW172" s="12" t="s">
        <v>36</v>
      </c>
      <c r="AX172" s="12" t="s">
        <v>77</v>
      </c>
      <c r="AY172" s="150" t="s">
        <v>177</v>
      </c>
    </row>
    <row r="173" spans="2:51" s="15" customFormat="1" ht="11.25">
      <c r="B173" s="169"/>
      <c r="D173" s="142" t="s">
        <v>193</v>
      </c>
      <c r="E173" s="170" t="s">
        <v>3</v>
      </c>
      <c r="F173" s="171" t="s">
        <v>201</v>
      </c>
      <c r="H173" s="172">
        <v>133.796</v>
      </c>
      <c r="I173" s="173"/>
      <c r="L173" s="169"/>
      <c r="M173" s="174"/>
      <c r="T173" s="175"/>
      <c r="AT173" s="170" t="s">
        <v>193</v>
      </c>
      <c r="AU173" s="170" t="s">
        <v>87</v>
      </c>
      <c r="AV173" s="15" t="s">
        <v>185</v>
      </c>
      <c r="AW173" s="15" t="s">
        <v>36</v>
      </c>
      <c r="AX173" s="15" t="s">
        <v>85</v>
      </c>
      <c r="AY173" s="170" t="s">
        <v>177</v>
      </c>
    </row>
    <row r="174" spans="2:65" s="1" customFormat="1" ht="24.2" customHeight="1">
      <c r="B174" s="128"/>
      <c r="C174" s="129" t="s">
        <v>283</v>
      </c>
      <c r="D174" s="129" t="s">
        <v>180</v>
      </c>
      <c r="E174" s="130" t="s">
        <v>427</v>
      </c>
      <c r="F174" s="131" t="s">
        <v>428</v>
      </c>
      <c r="G174" s="132" t="s">
        <v>332</v>
      </c>
      <c r="H174" s="133">
        <v>222.993</v>
      </c>
      <c r="I174" s="134"/>
      <c r="J174" s="135">
        <f>ROUND(I174*H174,2)</f>
        <v>0</v>
      </c>
      <c r="K174" s="131" t="s">
        <v>184</v>
      </c>
      <c r="L174" s="33"/>
      <c r="M174" s="136" t="s">
        <v>3</v>
      </c>
      <c r="N174" s="137" t="s">
        <v>48</v>
      </c>
      <c r="P174" s="138">
        <f>O174*H174</f>
        <v>0</v>
      </c>
      <c r="Q174" s="138">
        <v>0.08447</v>
      </c>
      <c r="R174" s="138">
        <f>Q174*H174</f>
        <v>18.83621871</v>
      </c>
      <c r="S174" s="138">
        <v>0</v>
      </c>
      <c r="T174" s="139">
        <f>S174*H174</f>
        <v>0</v>
      </c>
      <c r="AR174" s="140" t="s">
        <v>185</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429</v>
      </c>
    </row>
    <row r="175" spans="2:47" s="1" customFormat="1" ht="19.5">
      <c r="B175" s="33"/>
      <c r="D175" s="142" t="s">
        <v>187</v>
      </c>
      <c r="F175" s="143" t="s">
        <v>430</v>
      </c>
      <c r="I175" s="144"/>
      <c r="L175" s="33"/>
      <c r="M175" s="145"/>
      <c r="T175" s="54"/>
      <c r="AT175" s="18" t="s">
        <v>187</v>
      </c>
      <c r="AU175" s="18" t="s">
        <v>87</v>
      </c>
    </row>
    <row r="176" spans="2:47" s="1" customFormat="1" ht="11.25">
      <c r="B176" s="33"/>
      <c r="D176" s="146" t="s">
        <v>189</v>
      </c>
      <c r="F176" s="147" t="s">
        <v>431</v>
      </c>
      <c r="I176" s="144"/>
      <c r="L176" s="33"/>
      <c r="M176" s="145"/>
      <c r="T176" s="54"/>
      <c r="AT176" s="18" t="s">
        <v>189</v>
      </c>
      <c r="AU176" s="18" t="s">
        <v>87</v>
      </c>
    </row>
    <row r="177" spans="2:47" s="1" customFormat="1" ht="165.75">
      <c r="B177" s="33"/>
      <c r="D177" s="142" t="s">
        <v>191</v>
      </c>
      <c r="F177" s="148" t="s">
        <v>396</v>
      </c>
      <c r="I177" s="144"/>
      <c r="L177" s="33"/>
      <c r="M177" s="145"/>
      <c r="T177" s="54"/>
      <c r="AT177" s="18" t="s">
        <v>191</v>
      </c>
      <c r="AU177" s="18" t="s">
        <v>87</v>
      </c>
    </row>
    <row r="178" spans="2:51" s="13" customFormat="1" ht="11.25">
      <c r="B178" s="156"/>
      <c r="D178" s="142" t="s">
        <v>193</v>
      </c>
      <c r="E178" s="157" t="s">
        <v>3</v>
      </c>
      <c r="F178" s="158" t="s">
        <v>432</v>
      </c>
      <c r="H178" s="157" t="s">
        <v>3</v>
      </c>
      <c r="I178" s="159"/>
      <c r="L178" s="156"/>
      <c r="M178" s="160"/>
      <c r="T178" s="161"/>
      <c r="AT178" s="157" t="s">
        <v>193</v>
      </c>
      <c r="AU178" s="157" t="s">
        <v>87</v>
      </c>
      <c r="AV178" s="13" t="s">
        <v>85</v>
      </c>
      <c r="AW178" s="13" t="s">
        <v>36</v>
      </c>
      <c r="AX178" s="13" t="s">
        <v>77</v>
      </c>
      <c r="AY178" s="157" t="s">
        <v>177</v>
      </c>
    </row>
    <row r="179" spans="2:51" s="12" customFormat="1" ht="11.25">
      <c r="B179" s="149"/>
      <c r="D179" s="142" t="s">
        <v>193</v>
      </c>
      <c r="E179" s="150" t="s">
        <v>3</v>
      </c>
      <c r="F179" s="151" t="s">
        <v>433</v>
      </c>
      <c r="H179" s="152">
        <v>78.156</v>
      </c>
      <c r="I179" s="153"/>
      <c r="L179" s="149"/>
      <c r="M179" s="154"/>
      <c r="T179" s="155"/>
      <c r="AT179" s="150" t="s">
        <v>193</v>
      </c>
      <c r="AU179" s="150" t="s">
        <v>87</v>
      </c>
      <c r="AV179" s="12" t="s">
        <v>87</v>
      </c>
      <c r="AW179" s="12" t="s">
        <v>36</v>
      </c>
      <c r="AX179" s="12" t="s">
        <v>77</v>
      </c>
      <c r="AY179" s="150" t="s">
        <v>177</v>
      </c>
    </row>
    <row r="180" spans="2:51" s="12" customFormat="1" ht="11.25">
      <c r="B180" s="149"/>
      <c r="D180" s="142" t="s">
        <v>193</v>
      </c>
      <c r="E180" s="150" t="s">
        <v>3</v>
      </c>
      <c r="F180" s="151" t="s">
        <v>434</v>
      </c>
      <c r="H180" s="152">
        <v>67.097</v>
      </c>
      <c r="I180" s="153"/>
      <c r="L180" s="149"/>
      <c r="M180" s="154"/>
      <c r="T180" s="155"/>
      <c r="AT180" s="150" t="s">
        <v>193</v>
      </c>
      <c r="AU180" s="150" t="s">
        <v>87</v>
      </c>
      <c r="AV180" s="12" t="s">
        <v>87</v>
      </c>
      <c r="AW180" s="12" t="s">
        <v>36</v>
      </c>
      <c r="AX180" s="12" t="s">
        <v>77</v>
      </c>
      <c r="AY180" s="150" t="s">
        <v>177</v>
      </c>
    </row>
    <row r="181" spans="2:51" s="12" customFormat="1" ht="11.25">
      <c r="B181" s="149"/>
      <c r="D181" s="142" t="s">
        <v>193</v>
      </c>
      <c r="E181" s="150" t="s">
        <v>3</v>
      </c>
      <c r="F181" s="151" t="s">
        <v>435</v>
      </c>
      <c r="H181" s="152">
        <v>77.74</v>
      </c>
      <c r="I181" s="153"/>
      <c r="L181" s="149"/>
      <c r="M181" s="154"/>
      <c r="T181" s="155"/>
      <c r="AT181" s="150" t="s">
        <v>193</v>
      </c>
      <c r="AU181" s="150" t="s">
        <v>87</v>
      </c>
      <c r="AV181" s="12" t="s">
        <v>87</v>
      </c>
      <c r="AW181" s="12" t="s">
        <v>36</v>
      </c>
      <c r="AX181" s="12" t="s">
        <v>77</v>
      </c>
      <c r="AY181" s="150" t="s">
        <v>177</v>
      </c>
    </row>
    <row r="182" spans="2:51" s="15" customFormat="1" ht="11.25">
      <c r="B182" s="169"/>
      <c r="D182" s="142" t="s">
        <v>193</v>
      </c>
      <c r="E182" s="170" t="s">
        <v>3</v>
      </c>
      <c r="F182" s="171" t="s">
        <v>201</v>
      </c>
      <c r="H182" s="172">
        <v>222.993</v>
      </c>
      <c r="I182" s="173"/>
      <c r="L182" s="169"/>
      <c r="M182" s="174"/>
      <c r="T182" s="175"/>
      <c r="AT182" s="170" t="s">
        <v>193</v>
      </c>
      <c r="AU182" s="170" t="s">
        <v>87</v>
      </c>
      <c r="AV182" s="15" t="s">
        <v>185</v>
      </c>
      <c r="AW182" s="15" t="s">
        <v>36</v>
      </c>
      <c r="AX182" s="15" t="s">
        <v>85</v>
      </c>
      <c r="AY182" s="170" t="s">
        <v>177</v>
      </c>
    </row>
    <row r="183" spans="2:65" s="1" customFormat="1" ht="24.2" customHeight="1">
      <c r="B183" s="128"/>
      <c r="C183" s="129" t="s">
        <v>9</v>
      </c>
      <c r="D183" s="129" t="s">
        <v>180</v>
      </c>
      <c r="E183" s="130" t="s">
        <v>436</v>
      </c>
      <c r="F183" s="131" t="s">
        <v>437</v>
      </c>
      <c r="G183" s="132" t="s">
        <v>332</v>
      </c>
      <c r="H183" s="133">
        <v>194.976</v>
      </c>
      <c r="I183" s="134"/>
      <c r="J183" s="135">
        <f>ROUND(I183*H183,2)</f>
        <v>0</v>
      </c>
      <c r="K183" s="131" t="s">
        <v>184</v>
      </c>
      <c r="L183" s="33"/>
      <c r="M183" s="136" t="s">
        <v>3</v>
      </c>
      <c r="N183" s="137" t="s">
        <v>48</v>
      </c>
      <c r="P183" s="138">
        <f>O183*H183</f>
        <v>0</v>
      </c>
      <c r="Q183" s="138">
        <v>0</v>
      </c>
      <c r="R183" s="138">
        <f>Q183*H183</f>
        <v>0</v>
      </c>
      <c r="S183" s="138">
        <v>0</v>
      </c>
      <c r="T183" s="139">
        <f>S183*H183</f>
        <v>0</v>
      </c>
      <c r="AR183" s="140" t="s">
        <v>185</v>
      </c>
      <c r="AT183" s="140" t="s">
        <v>180</v>
      </c>
      <c r="AU183" s="140" t="s">
        <v>87</v>
      </c>
      <c r="AY183" s="18" t="s">
        <v>177</v>
      </c>
      <c r="BE183" s="141">
        <f>IF(N183="základní",J183,0)</f>
        <v>0</v>
      </c>
      <c r="BF183" s="141">
        <f>IF(N183="snížená",J183,0)</f>
        <v>0</v>
      </c>
      <c r="BG183" s="141">
        <f>IF(N183="zákl. přenesená",J183,0)</f>
        <v>0</v>
      </c>
      <c r="BH183" s="141">
        <f>IF(N183="sníž. přenesená",J183,0)</f>
        <v>0</v>
      </c>
      <c r="BI183" s="141">
        <f>IF(N183="nulová",J183,0)</f>
        <v>0</v>
      </c>
      <c r="BJ183" s="18" t="s">
        <v>85</v>
      </c>
      <c r="BK183" s="141">
        <f>ROUND(I183*H183,2)</f>
        <v>0</v>
      </c>
      <c r="BL183" s="18" t="s">
        <v>185</v>
      </c>
      <c r="BM183" s="140" t="s">
        <v>438</v>
      </c>
    </row>
    <row r="184" spans="2:47" s="1" customFormat="1" ht="19.5">
      <c r="B184" s="33"/>
      <c r="D184" s="142" t="s">
        <v>187</v>
      </c>
      <c r="F184" s="143" t="s">
        <v>439</v>
      </c>
      <c r="I184" s="144"/>
      <c r="L184" s="33"/>
      <c r="M184" s="145"/>
      <c r="T184" s="54"/>
      <c r="AT184" s="18" t="s">
        <v>187</v>
      </c>
      <c r="AU184" s="18" t="s">
        <v>87</v>
      </c>
    </row>
    <row r="185" spans="2:47" s="1" customFormat="1" ht="11.25">
      <c r="B185" s="33"/>
      <c r="D185" s="146" t="s">
        <v>189</v>
      </c>
      <c r="F185" s="147" t="s">
        <v>440</v>
      </c>
      <c r="I185" s="144"/>
      <c r="L185" s="33"/>
      <c r="M185" s="145"/>
      <c r="T185" s="54"/>
      <c r="AT185" s="18" t="s">
        <v>189</v>
      </c>
      <c r="AU185" s="18" t="s">
        <v>87</v>
      </c>
    </row>
    <row r="186" spans="2:47" s="1" customFormat="1" ht="165.75">
      <c r="B186" s="33"/>
      <c r="D186" s="142" t="s">
        <v>191</v>
      </c>
      <c r="F186" s="148" t="s">
        <v>396</v>
      </c>
      <c r="I186" s="144"/>
      <c r="L186" s="33"/>
      <c r="M186" s="145"/>
      <c r="T186" s="54"/>
      <c r="AT186" s="18" t="s">
        <v>191</v>
      </c>
      <c r="AU186" s="18" t="s">
        <v>87</v>
      </c>
    </row>
    <row r="187" spans="2:51" s="13" customFormat="1" ht="11.25">
      <c r="B187" s="156"/>
      <c r="D187" s="142" t="s">
        <v>193</v>
      </c>
      <c r="E187" s="157" t="s">
        <v>3</v>
      </c>
      <c r="F187" s="158" t="s">
        <v>441</v>
      </c>
      <c r="H187" s="157" t="s">
        <v>3</v>
      </c>
      <c r="I187" s="159"/>
      <c r="L187" s="156"/>
      <c r="M187" s="160"/>
      <c r="T187" s="161"/>
      <c r="AT187" s="157" t="s">
        <v>193</v>
      </c>
      <c r="AU187" s="157" t="s">
        <v>87</v>
      </c>
      <c r="AV187" s="13" t="s">
        <v>85</v>
      </c>
      <c r="AW187" s="13" t="s">
        <v>36</v>
      </c>
      <c r="AX187" s="13" t="s">
        <v>77</v>
      </c>
      <c r="AY187" s="157" t="s">
        <v>177</v>
      </c>
    </row>
    <row r="188" spans="2:51" s="12" customFormat="1" ht="11.25">
      <c r="B188" s="149"/>
      <c r="D188" s="142" t="s">
        <v>193</v>
      </c>
      <c r="E188" s="150" t="s">
        <v>3</v>
      </c>
      <c r="F188" s="151" t="s">
        <v>442</v>
      </c>
      <c r="H188" s="152">
        <v>194.976</v>
      </c>
      <c r="I188" s="153"/>
      <c r="L188" s="149"/>
      <c r="M188" s="154"/>
      <c r="T188" s="155"/>
      <c r="AT188" s="150" t="s">
        <v>193</v>
      </c>
      <c r="AU188" s="150" t="s">
        <v>87</v>
      </c>
      <c r="AV188" s="12" t="s">
        <v>87</v>
      </c>
      <c r="AW188" s="12" t="s">
        <v>36</v>
      </c>
      <c r="AX188" s="12" t="s">
        <v>85</v>
      </c>
      <c r="AY188" s="150" t="s">
        <v>177</v>
      </c>
    </row>
    <row r="189" spans="2:65" s="1" customFormat="1" ht="21.75" customHeight="1">
      <c r="B189" s="128"/>
      <c r="C189" s="129" t="s">
        <v>237</v>
      </c>
      <c r="D189" s="129" t="s">
        <v>180</v>
      </c>
      <c r="E189" s="130" t="s">
        <v>443</v>
      </c>
      <c r="F189" s="131" t="s">
        <v>444</v>
      </c>
      <c r="G189" s="132" t="s">
        <v>332</v>
      </c>
      <c r="H189" s="133">
        <v>414.158</v>
      </c>
      <c r="I189" s="134"/>
      <c r="J189" s="135">
        <f>ROUND(I189*H189,2)</f>
        <v>0</v>
      </c>
      <c r="K189" s="131" t="s">
        <v>184</v>
      </c>
      <c r="L189" s="33"/>
      <c r="M189" s="136" t="s">
        <v>3</v>
      </c>
      <c r="N189" s="137" t="s">
        <v>48</v>
      </c>
      <c r="P189" s="138">
        <f>O189*H189</f>
        <v>0</v>
      </c>
      <c r="Q189" s="138">
        <v>0.00397</v>
      </c>
      <c r="R189" s="138">
        <f>Q189*H189</f>
        <v>1.64420726</v>
      </c>
      <c r="S189" s="138">
        <v>0</v>
      </c>
      <c r="T189" s="139">
        <f>S189*H189</f>
        <v>0</v>
      </c>
      <c r="AR189" s="140" t="s">
        <v>185</v>
      </c>
      <c r="AT189" s="140" t="s">
        <v>180</v>
      </c>
      <c r="AU189" s="140" t="s">
        <v>87</v>
      </c>
      <c r="AY189" s="18" t="s">
        <v>177</v>
      </c>
      <c r="BE189" s="141">
        <f>IF(N189="základní",J189,0)</f>
        <v>0</v>
      </c>
      <c r="BF189" s="141">
        <f>IF(N189="snížená",J189,0)</f>
        <v>0</v>
      </c>
      <c r="BG189" s="141">
        <f>IF(N189="zákl. přenesená",J189,0)</f>
        <v>0</v>
      </c>
      <c r="BH189" s="141">
        <f>IF(N189="sníž. přenesená",J189,0)</f>
        <v>0</v>
      </c>
      <c r="BI189" s="141">
        <f>IF(N189="nulová",J189,0)</f>
        <v>0</v>
      </c>
      <c r="BJ189" s="18" t="s">
        <v>85</v>
      </c>
      <c r="BK189" s="141">
        <f>ROUND(I189*H189,2)</f>
        <v>0</v>
      </c>
      <c r="BL189" s="18" t="s">
        <v>185</v>
      </c>
      <c r="BM189" s="140" t="s">
        <v>445</v>
      </c>
    </row>
    <row r="190" spans="2:47" s="1" customFormat="1" ht="19.5">
      <c r="B190" s="33"/>
      <c r="D190" s="142" t="s">
        <v>187</v>
      </c>
      <c r="F190" s="143" t="s">
        <v>446</v>
      </c>
      <c r="I190" s="144"/>
      <c r="L190" s="33"/>
      <c r="M190" s="145"/>
      <c r="T190" s="54"/>
      <c r="AT190" s="18" t="s">
        <v>187</v>
      </c>
      <c r="AU190" s="18" t="s">
        <v>87</v>
      </c>
    </row>
    <row r="191" spans="2:47" s="1" customFormat="1" ht="11.25">
      <c r="B191" s="33"/>
      <c r="D191" s="146" t="s">
        <v>189</v>
      </c>
      <c r="F191" s="147" t="s">
        <v>447</v>
      </c>
      <c r="I191" s="144"/>
      <c r="L191" s="33"/>
      <c r="M191" s="145"/>
      <c r="T191" s="54"/>
      <c r="AT191" s="18" t="s">
        <v>189</v>
      </c>
      <c r="AU191" s="18" t="s">
        <v>87</v>
      </c>
    </row>
    <row r="192" spans="2:47" s="1" customFormat="1" ht="39">
      <c r="B192" s="33"/>
      <c r="D192" s="142" t="s">
        <v>191</v>
      </c>
      <c r="F192" s="148" t="s">
        <v>448</v>
      </c>
      <c r="I192" s="144"/>
      <c r="L192" s="33"/>
      <c r="M192" s="145"/>
      <c r="T192" s="54"/>
      <c r="AT192" s="18" t="s">
        <v>191</v>
      </c>
      <c r="AU192" s="18" t="s">
        <v>87</v>
      </c>
    </row>
    <row r="193" spans="2:65" s="1" customFormat="1" ht="24.2" customHeight="1">
      <c r="B193" s="128"/>
      <c r="C193" s="129" t="s">
        <v>302</v>
      </c>
      <c r="D193" s="129" t="s">
        <v>180</v>
      </c>
      <c r="E193" s="130" t="s">
        <v>449</v>
      </c>
      <c r="F193" s="131" t="s">
        <v>450</v>
      </c>
      <c r="G193" s="132" t="s">
        <v>332</v>
      </c>
      <c r="H193" s="133">
        <v>356.789</v>
      </c>
      <c r="I193" s="134"/>
      <c r="J193" s="135">
        <f>ROUND(I193*H193,2)</f>
        <v>0</v>
      </c>
      <c r="K193" s="131" t="s">
        <v>184</v>
      </c>
      <c r="L193" s="33"/>
      <c r="M193" s="136" t="s">
        <v>3</v>
      </c>
      <c r="N193" s="137" t="s">
        <v>48</v>
      </c>
      <c r="P193" s="138">
        <f>O193*H193</f>
        <v>0</v>
      </c>
      <c r="Q193" s="138">
        <v>0.00427</v>
      </c>
      <c r="R193" s="138">
        <f>Q193*H193</f>
        <v>1.5234890300000001</v>
      </c>
      <c r="S193" s="138">
        <v>0</v>
      </c>
      <c r="T193" s="139">
        <f>S193*H193</f>
        <v>0</v>
      </c>
      <c r="AR193" s="140" t="s">
        <v>185</v>
      </c>
      <c r="AT193" s="140" t="s">
        <v>180</v>
      </c>
      <c r="AU193" s="140" t="s">
        <v>87</v>
      </c>
      <c r="AY193" s="18" t="s">
        <v>177</v>
      </c>
      <c r="BE193" s="141">
        <f>IF(N193="základní",J193,0)</f>
        <v>0</v>
      </c>
      <c r="BF193" s="141">
        <f>IF(N193="snížená",J193,0)</f>
        <v>0</v>
      </c>
      <c r="BG193" s="141">
        <f>IF(N193="zákl. přenesená",J193,0)</f>
        <v>0</v>
      </c>
      <c r="BH193" s="141">
        <f>IF(N193="sníž. přenesená",J193,0)</f>
        <v>0</v>
      </c>
      <c r="BI193" s="141">
        <f>IF(N193="nulová",J193,0)</f>
        <v>0</v>
      </c>
      <c r="BJ193" s="18" t="s">
        <v>85</v>
      </c>
      <c r="BK193" s="141">
        <f>ROUND(I193*H193,2)</f>
        <v>0</v>
      </c>
      <c r="BL193" s="18" t="s">
        <v>185</v>
      </c>
      <c r="BM193" s="140" t="s">
        <v>451</v>
      </c>
    </row>
    <row r="194" spans="2:47" s="1" customFormat="1" ht="19.5">
      <c r="B194" s="33"/>
      <c r="D194" s="142" t="s">
        <v>187</v>
      </c>
      <c r="F194" s="143" t="s">
        <v>452</v>
      </c>
      <c r="I194" s="144"/>
      <c r="L194" s="33"/>
      <c r="M194" s="145"/>
      <c r="T194" s="54"/>
      <c r="AT194" s="18" t="s">
        <v>187</v>
      </c>
      <c r="AU194" s="18" t="s">
        <v>87</v>
      </c>
    </row>
    <row r="195" spans="2:47" s="1" customFormat="1" ht="11.25">
      <c r="B195" s="33"/>
      <c r="D195" s="146" t="s">
        <v>189</v>
      </c>
      <c r="F195" s="147" t="s">
        <v>453</v>
      </c>
      <c r="I195" s="144"/>
      <c r="L195" s="33"/>
      <c r="M195" s="145"/>
      <c r="T195" s="54"/>
      <c r="AT195" s="18" t="s">
        <v>189</v>
      </c>
      <c r="AU195" s="18" t="s">
        <v>87</v>
      </c>
    </row>
    <row r="196" spans="2:47" s="1" customFormat="1" ht="39">
      <c r="B196" s="33"/>
      <c r="D196" s="142" t="s">
        <v>191</v>
      </c>
      <c r="F196" s="148" t="s">
        <v>448</v>
      </c>
      <c r="I196" s="144"/>
      <c r="L196" s="33"/>
      <c r="M196" s="145"/>
      <c r="T196" s="54"/>
      <c r="AT196" s="18" t="s">
        <v>191</v>
      </c>
      <c r="AU196" s="18" t="s">
        <v>87</v>
      </c>
    </row>
    <row r="197" spans="2:65" s="1" customFormat="1" ht="24.2" customHeight="1">
      <c r="B197" s="128"/>
      <c r="C197" s="129" t="s">
        <v>315</v>
      </c>
      <c r="D197" s="129" t="s">
        <v>180</v>
      </c>
      <c r="E197" s="130" t="s">
        <v>454</v>
      </c>
      <c r="F197" s="131" t="s">
        <v>455</v>
      </c>
      <c r="G197" s="132" t="s">
        <v>332</v>
      </c>
      <c r="H197" s="133">
        <v>478.235</v>
      </c>
      <c r="I197" s="134"/>
      <c r="J197" s="135">
        <f>ROUND(I197*H197,2)</f>
        <v>0</v>
      </c>
      <c r="K197" s="131" t="s">
        <v>184</v>
      </c>
      <c r="L197" s="33"/>
      <c r="M197" s="136" t="s">
        <v>3</v>
      </c>
      <c r="N197" s="137" t="s">
        <v>48</v>
      </c>
      <c r="P197" s="138">
        <f>O197*H197</f>
        <v>0</v>
      </c>
      <c r="Q197" s="138">
        <v>0.00153</v>
      </c>
      <c r="R197" s="138">
        <f>Q197*H197</f>
        <v>0.73169955</v>
      </c>
      <c r="S197" s="138">
        <v>0</v>
      </c>
      <c r="T197" s="139">
        <f>S197*H197</f>
        <v>0</v>
      </c>
      <c r="AR197" s="140" t="s">
        <v>185</v>
      </c>
      <c r="AT197" s="140" t="s">
        <v>180</v>
      </c>
      <c r="AU197" s="140" t="s">
        <v>87</v>
      </c>
      <c r="AY197" s="18" t="s">
        <v>177</v>
      </c>
      <c r="BE197" s="141">
        <f>IF(N197="základní",J197,0)</f>
        <v>0</v>
      </c>
      <c r="BF197" s="141">
        <f>IF(N197="snížená",J197,0)</f>
        <v>0</v>
      </c>
      <c r="BG197" s="141">
        <f>IF(N197="zákl. přenesená",J197,0)</f>
        <v>0</v>
      </c>
      <c r="BH197" s="141">
        <f>IF(N197="sníž. přenesená",J197,0)</f>
        <v>0</v>
      </c>
      <c r="BI197" s="141">
        <f>IF(N197="nulová",J197,0)</f>
        <v>0</v>
      </c>
      <c r="BJ197" s="18" t="s">
        <v>85</v>
      </c>
      <c r="BK197" s="141">
        <f>ROUND(I197*H197,2)</f>
        <v>0</v>
      </c>
      <c r="BL197" s="18" t="s">
        <v>185</v>
      </c>
      <c r="BM197" s="140" t="s">
        <v>456</v>
      </c>
    </row>
    <row r="198" spans="2:47" s="1" customFormat="1" ht="19.5">
      <c r="B198" s="33"/>
      <c r="D198" s="142" t="s">
        <v>187</v>
      </c>
      <c r="F198" s="143" t="s">
        <v>457</v>
      </c>
      <c r="I198" s="144"/>
      <c r="L198" s="33"/>
      <c r="M198" s="145"/>
      <c r="T198" s="54"/>
      <c r="AT198" s="18" t="s">
        <v>187</v>
      </c>
      <c r="AU198" s="18" t="s">
        <v>87</v>
      </c>
    </row>
    <row r="199" spans="2:47" s="1" customFormat="1" ht="11.25">
      <c r="B199" s="33"/>
      <c r="D199" s="146" t="s">
        <v>189</v>
      </c>
      <c r="F199" s="147" t="s">
        <v>458</v>
      </c>
      <c r="I199" s="144"/>
      <c r="L199" s="33"/>
      <c r="M199" s="145"/>
      <c r="T199" s="54"/>
      <c r="AT199" s="18" t="s">
        <v>189</v>
      </c>
      <c r="AU199" s="18" t="s">
        <v>87</v>
      </c>
    </row>
    <row r="200" spans="2:47" s="1" customFormat="1" ht="48.75">
      <c r="B200" s="33"/>
      <c r="D200" s="142" t="s">
        <v>191</v>
      </c>
      <c r="F200" s="148" t="s">
        <v>459</v>
      </c>
      <c r="I200" s="144"/>
      <c r="L200" s="33"/>
      <c r="M200" s="145"/>
      <c r="T200" s="54"/>
      <c r="AT200" s="18" t="s">
        <v>191</v>
      </c>
      <c r="AU200" s="18" t="s">
        <v>87</v>
      </c>
    </row>
    <row r="201" spans="2:51" s="12" customFormat="1" ht="11.25">
      <c r="B201" s="149"/>
      <c r="D201" s="142" t="s">
        <v>193</v>
      </c>
      <c r="E201" s="150" t="s">
        <v>3</v>
      </c>
      <c r="F201" s="151" t="s">
        <v>460</v>
      </c>
      <c r="H201" s="152">
        <v>478.235</v>
      </c>
      <c r="I201" s="153"/>
      <c r="L201" s="149"/>
      <c r="M201" s="154"/>
      <c r="T201" s="155"/>
      <c r="AT201" s="150" t="s">
        <v>193</v>
      </c>
      <c r="AU201" s="150" t="s">
        <v>87</v>
      </c>
      <c r="AV201" s="12" t="s">
        <v>87</v>
      </c>
      <c r="AW201" s="12" t="s">
        <v>36</v>
      </c>
      <c r="AX201" s="12" t="s">
        <v>85</v>
      </c>
      <c r="AY201" s="150" t="s">
        <v>177</v>
      </c>
    </row>
    <row r="202" spans="2:65" s="1" customFormat="1" ht="24.2" customHeight="1">
      <c r="B202" s="128"/>
      <c r="C202" s="129" t="s">
        <v>461</v>
      </c>
      <c r="D202" s="129" t="s">
        <v>180</v>
      </c>
      <c r="E202" s="130" t="s">
        <v>462</v>
      </c>
      <c r="F202" s="131" t="s">
        <v>463</v>
      </c>
      <c r="G202" s="132" t="s">
        <v>332</v>
      </c>
      <c r="H202" s="133">
        <v>770.947</v>
      </c>
      <c r="I202" s="134"/>
      <c r="J202" s="135">
        <f>ROUND(I202*H202,2)</f>
        <v>0</v>
      </c>
      <c r="K202" s="131" t="s">
        <v>184</v>
      </c>
      <c r="L202" s="33"/>
      <c r="M202" s="136" t="s">
        <v>3</v>
      </c>
      <c r="N202" s="137" t="s">
        <v>48</v>
      </c>
      <c r="P202" s="138">
        <f>O202*H202</f>
        <v>0</v>
      </c>
      <c r="Q202" s="138">
        <v>0.0021</v>
      </c>
      <c r="R202" s="138">
        <f>Q202*H202</f>
        <v>1.6189886999999998</v>
      </c>
      <c r="S202" s="138">
        <v>0</v>
      </c>
      <c r="T202" s="139">
        <f>S202*H202</f>
        <v>0</v>
      </c>
      <c r="AR202" s="140" t="s">
        <v>185</v>
      </c>
      <c r="AT202" s="140" t="s">
        <v>180</v>
      </c>
      <c r="AU202" s="140" t="s">
        <v>87</v>
      </c>
      <c r="AY202" s="18" t="s">
        <v>177</v>
      </c>
      <c r="BE202" s="141">
        <f>IF(N202="základní",J202,0)</f>
        <v>0</v>
      </c>
      <c r="BF202" s="141">
        <f>IF(N202="snížená",J202,0)</f>
        <v>0</v>
      </c>
      <c r="BG202" s="141">
        <f>IF(N202="zákl. přenesená",J202,0)</f>
        <v>0</v>
      </c>
      <c r="BH202" s="141">
        <f>IF(N202="sníž. přenesená",J202,0)</f>
        <v>0</v>
      </c>
      <c r="BI202" s="141">
        <f>IF(N202="nulová",J202,0)</f>
        <v>0</v>
      </c>
      <c r="BJ202" s="18" t="s">
        <v>85</v>
      </c>
      <c r="BK202" s="141">
        <f>ROUND(I202*H202,2)</f>
        <v>0</v>
      </c>
      <c r="BL202" s="18" t="s">
        <v>185</v>
      </c>
      <c r="BM202" s="140" t="s">
        <v>464</v>
      </c>
    </row>
    <row r="203" spans="2:47" s="1" customFormat="1" ht="19.5">
      <c r="B203" s="33"/>
      <c r="D203" s="142" t="s">
        <v>187</v>
      </c>
      <c r="F203" s="143" t="s">
        <v>465</v>
      </c>
      <c r="I203" s="144"/>
      <c r="L203" s="33"/>
      <c r="M203" s="145"/>
      <c r="T203" s="54"/>
      <c r="AT203" s="18" t="s">
        <v>187</v>
      </c>
      <c r="AU203" s="18" t="s">
        <v>87</v>
      </c>
    </row>
    <row r="204" spans="2:47" s="1" customFormat="1" ht="11.25">
      <c r="B204" s="33"/>
      <c r="D204" s="146" t="s">
        <v>189</v>
      </c>
      <c r="F204" s="147" t="s">
        <v>466</v>
      </c>
      <c r="I204" s="144"/>
      <c r="L204" s="33"/>
      <c r="M204" s="145"/>
      <c r="T204" s="54"/>
      <c r="AT204" s="18" t="s">
        <v>189</v>
      </c>
      <c r="AU204" s="18" t="s">
        <v>87</v>
      </c>
    </row>
    <row r="205" spans="2:51" s="12" customFormat="1" ht="11.25">
      <c r="B205" s="149"/>
      <c r="D205" s="142" t="s">
        <v>193</v>
      </c>
      <c r="E205" s="150" t="s">
        <v>3</v>
      </c>
      <c r="F205" s="151" t="s">
        <v>384</v>
      </c>
      <c r="H205" s="152">
        <v>414.158</v>
      </c>
      <c r="I205" s="153"/>
      <c r="L205" s="149"/>
      <c r="M205" s="154"/>
      <c r="T205" s="155"/>
      <c r="AT205" s="150" t="s">
        <v>193</v>
      </c>
      <c r="AU205" s="150" t="s">
        <v>87</v>
      </c>
      <c r="AV205" s="12" t="s">
        <v>87</v>
      </c>
      <c r="AW205" s="12" t="s">
        <v>36</v>
      </c>
      <c r="AX205" s="12" t="s">
        <v>77</v>
      </c>
      <c r="AY205" s="150" t="s">
        <v>177</v>
      </c>
    </row>
    <row r="206" spans="2:51" s="12" customFormat="1" ht="11.25">
      <c r="B206" s="149"/>
      <c r="D206" s="142" t="s">
        <v>193</v>
      </c>
      <c r="E206" s="150" t="s">
        <v>3</v>
      </c>
      <c r="F206" s="151" t="s">
        <v>390</v>
      </c>
      <c r="H206" s="152">
        <v>356.789</v>
      </c>
      <c r="I206" s="153"/>
      <c r="L206" s="149"/>
      <c r="M206" s="154"/>
      <c r="T206" s="155"/>
      <c r="AT206" s="150" t="s">
        <v>193</v>
      </c>
      <c r="AU206" s="150" t="s">
        <v>87</v>
      </c>
      <c r="AV206" s="12" t="s">
        <v>87</v>
      </c>
      <c r="AW206" s="12" t="s">
        <v>36</v>
      </c>
      <c r="AX206" s="12" t="s">
        <v>77</v>
      </c>
      <c r="AY206" s="150" t="s">
        <v>177</v>
      </c>
    </row>
    <row r="207" spans="2:51" s="15" customFormat="1" ht="11.25">
      <c r="B207" s="169"/>
      <c r="D207" s="142" t="s">
        <v>193</v>
      </c>
      <c r="E207" s="170" t="s">
        <v>3</v>
      </c>
      <c r="F207" s="171" t="s">
        <v>201</v>
      </c>
      <c r="H207" s="172">
        <v>770.947</v>
      </c>
      <c r="I207" s="173"/>
      <c r="L207" s="169"/>
      <c r="M207" s="174"/>
      <c r="T207" s="175"/>
      <c r="AT207" s="170" t="s">
        <v>193</v>
      </c>
      <c r="AU207" s="170" t="s">
        <v>87</v>
      </c>
      <c r="AV207" s="15" t="s">
        <v>185</v>
      </c>
      <c r="AW207" s="15" t="s">
        <v>36</v>
      </c>
      <c r="AX207" s="15" t="s">
        <v>85</v>
      </c>
      <c r="AY207" s="170" t="s">
        <v>177</v>
      </c>
    </row>
    <row r="208" spans="2:65" s="1" customFormat="1" ht="24.2" customHeight="1">
      <c r="B208" s="128"/>
      <c r="C208" s="129" t="s">
        <v>467</v>
      </c>
      <c r="D208" s="129" t="s">
        <v>180</v>
      </c>
      <c r="E208" s="130" t="s">
        <v>468</v>
      </c>
      <c r="F208" s="131" t="s">
        <v>469</v>
      </c>
      <c r="G208" s="132" t="s">
        <v>332</v>
      </c>
      <c r="H208" s="133">
        <v>770.947</v>
      </c>
      <c r="I208" s="134"/>
      <c r="J208" s="135">
        <f>ROUND(I208*H208,2)</f>
        <v>0</v>
      </c>
      <c r="K208" s="131" t="s">
        <v>184</v>
      </c>
      <c r="L208" s="33"/>
      <c r="M208" s="136" t="s">
        <v>3</v>
      </c>
      <c r="N208" s="137" t="s">
        <v>48</v>
      </c>
      <c r="P208" s="138">
        <f>O208*H208</f>
        <v>0</v>
      </c>
      <c r="Q208" s="138">
        <v>0.00109243</v>
      </c>
      <c r="R208" s="138">
        <f>Q208*H208</f>
        <v>0.8422056312099999</v>
      </c>
      <c r="S208" s="138">
        <v>0</v>
      </c>
      <c r="T208" s="139">
        <f>S208*H208</f>
        <v>0</v>
      </c>
      <c r="AR208" s="140" t="s">
        <v>185</v>
      </c>
      <c r="AT208" s="140" t="s">
        <v>180</v>
      </c>
      <c r="AU208" s="140" t="s">
        <v>87</v>
      </c>
      <c r="AY208" s="18" t="s">
        <v>177</v>
      </c>
      <c r="BE208" s="141">
        <f>IF(N208="základní",J208,0)</f>
        <v>0</v>
      </c>
      <c r="BF208" s="141">
        <f>IF(N208="snížená",J208,0)</f>
        <v>0</v>
      </c>
      <c r="BG208" s="141">
        <f>IF(N208="zákl. přenesená",J208,0)</f>
        <v>0</v>
      </c>
      <c r="BH208" s="141">
        <f>IF(N208="sníž. přenesená",J208,0)</f>
        <v>0</v>
      </c>
      <c r="BI208" s="141">
        <f>IF(N208="nulová",J208,0)</f>
        <v>0</v>
      </c>
      <c r="BJ208" s="18" t="s">
        <v>85</v>
      </c>
      <c r="BK208" s="141">
        <f>ROUND(I208*H208,2)</f>
        <v>0</v>
      </c>
      <c r="BL208" s="18" t="s">
        <v>185</v>
      </c>
      <c r="BM208" s="140" t="s">
        <v>470</v>
      </c>
    </row>
    <row r="209" spans="2:47" s="1" customFormat="1" ht="11.25">
      <c r="B209" s="33"/>
      <c r="D209" s="142" t="s">
        <v>187</v>
      </c>
      <c r="F209" s="143" t="s">
        <v>471</v>
      </c>
      <c r="I209" s="144"/>
      <c r="L209" s="33"/>
      <c r="M209" s="145"/>
      <c r="T209" s="54"/>
      <c r="AT209" s="18" t="s">
        <v>187</v>
      </c>
      <c r="AU209" s="18" t="s">
        <v>87</v>
      </c>
    </row>
    <row r="210" spans="2:47" s="1" customFormat="1" ht="11.25">
      <c r="B210" s="33"/>
      <c r="D210" s="146" t="s">
        <v>189</v>
      </c>
      <c r="F210" s="147" t="s">
        <v>472</v>
      </c>
      <c r="I210" s="144"/>
      <c r="L210" s="33"/>
      <c r="M210" s="145"/>
      <c r="T210" s="54"/>
      <c r="AT210" s="18" t="s">
        <v>189</v>
      </c>
      <c r="AU210" s="18" t="s">
        <v>87</v>
      </c>
    </row>
    <row r="211" spans="2:51" s="12" customFormat="1" ht="11.25">
      <c r="B211" s="149"/>
      <c r="D211" s="142" t="s">
        <v>193</v>
      </c>
      <c r="E211" s="150" t="s">
        <v>3</v>
      </c>
      <c r="F211" s="151" t="s">
        <v>473</v>
      </c>
      <c r="H211" s="152">
        <v>770.947</v>
      </c>
      <c r="I211" s="153"/>
      <c r="L211" s="149"/>
      <c r="M211" s="154"/>
      <c r="T211" s="155"/>
      <c r="AT211" s="150" t="s">
        <v>193</v>
      </c>
      <c r="AU211" s="150" t="s">
        <v>87</v>
      </c>
      <c r="AV211" s="12" t="s">
        <v>87</v>
      </c>
      <c r="AW211" s="12" t="s">
        <v>36</v>
      </c>
      <c r="AX211" s="12" t="s">
        <v>85</v>
      </c>
      <c r="AY211" s="150" t="s">
        <v>177</v>
      </c>
    </row>
    <row r="212" spans="2:65" s="1" customFormat="1" ht="24.2" customHeight="1">
      <c r="B212" s="128"/>
      <c r="C212" s="129" t="s">
        <v>8</v>
      </c>
      <c r="D212" s="129" t="s">
        <v>180</v>
      </c>
      <c r="E212" s="130" t="s">
        <v>474</v>
      </c>
      <c r="F212" s="131" t="s">
        <v>475</v>
      </c>
      <c r="G212" s="132" t="s">
        <v>476</v>
      </c>
      <c r="H212" s="133">
        <v>597.794</v>
      </c>
      <c r="I212" s="134"/>
      <c r="J212" s="135">
        <f>ROUND(I212*H212,2)</f>
        <v>0</v>
      </c>
      <c r="K212" s="131" t="s">
        <v>184</v>
      </c>
      <c r="L212" s="33"/>
      <c r="M212" s="136" t="s">
        <v>3</v>
      </c>
      <c r="N212" s="137" t="s">
        <v>48</v>
      </c>
      <c r="P212" s="138">
        <f>O212*H212</f>
        <v>0</v>
      </c>
      <c r="Q212" s="138">
        <v>0.0004314</v>
      </c>
      <c r="R212" s="138">
        <f>Q212*H212</f>
        <v>0.2578883316</v>
      </c>
      <c r="S212" s="138">
        <v>0</v>
      </c>
      <c r="T212" s="139">
        <f>S212*H212</f>
        <v>0</v>
      </c>
      <c r="AR212" s="140" t="s">
        <v>185</v>
      </c>
      <c r="AT212" s="140" t="s">
        <v>180</v>
      </c>
      <c r="AU212" s="140" t="s">
        <v>87</v>
      </c>
      <c r="AY212" s="18" t="s">
        <v>177</v>
      </c>
      <c r="BE212" s="141">
        <f>IF(N212="základní",J212,0)</f>
        <v>0</v>
      </c>
      <c r="BF212" s="141">
        <f>IF(N212="snížená",J212,0)</f>
        <v>0</v>
      </c>
      <c r="BG212" s="141">
        <f>IF(N212="zákl. přenesená",J212,0)</f>
        <v>0</v>
      </c>
      <c r="BH212" s="141">
        <f>IF(N212="sníž. přenesená",J212,0)</f>
        <v>0</v>
      </c>
      <c r="BI212" s="141">
        <f>IF(N212="nulová",J212,0)</f>
        <v>0</v>
      </c>
      <c r="BJ212" s="18" t="s">
        <v>85</v>
      </c>
      <c r="BK212" s="141">
        <f>ROUND(I212*H212,2)</f>
        <v>0</v>
      </c>
      <c r="BL212" s="18" t="s">
        <v>185</v>
      </c>
      <c r="BM212" s="140" t="s">
        <v>477</v>
      </c>
    </row>
    <row r="213" spans="2:47" s="1" customFormat="1" ht="19.5">
      <c r="B213" s="33"/>
      <c r="D213" s="142" t="s">
        <v>187</v>
      </c>
      <c r="F213" s="143" t="s">
        <v>478</v>
      </c>
      <c r="I213" s="144"/>
      <c r="L213" s="33"/>
      <c r="M213" s="145"/>
      <c r="T213" s="54"/>
      <c r="AT213" s="18" t="s">
        <v>187</v>
      </c>
      <c r="AU213" s="18" t="s">
        <v>87</v>
      </c>
    </row>
    <row r="214" spans="2:47" s="1" customFormat="1" ht="11.25">
      <c r="B214" s="33"/>
      <c r="D214" s="146" t="s">
        <v>189</v>
      </c>
      <c r="F214" s="147" t="s">
        <v>479</v>
      </c>
      <c r="I214" s="144"/>
      <c r="L214" s="33"/>
      <c r="M214" s="145"/>
      <c r="T214" s="54"/>
      <c r="AT214" s="18" t="s">
        <v>189</v>
      </c>
      <c r="AU214" s="18" t="s">
        <v>87</v>
      </c>
    </row>
    <row r="215" spans="2:47" s="1" customFormat="1" ht="107.25">
      <c r="B215" s="33"/>
      <c r="D215" s="142" t="s">
        <v>191</v>
      </c>
      <c r="F215" s="148" t="s">
        <v>480</v>
      </c>
      <c r="I215" s="144"/>
      <c r="L215" s="33"/>
      <c r="M215" s="145"/>
      <c r="T215" s="54"/>
      <c r="AT215" s="18" t="s">
        <v>191</v>
      </c>
      <c r="AU215" s="18" t="s">
        <v>87</v>
      </c>
    </row>
    <row r="216" spans="2:51" s="13" customFormat="1" ht="11.25">
      <c r="B216" s="156"/>
      <c r="D216" s="142" t="s">
        <v>193</v>
      </c>
      <c r="E216" s="157" t="s">
        <v>3</v>
      </c>
      <c r="F216" s="158" t="s">
        <v>481</v>
      </c>
      <c r="H216" s="157" t="s">
        <v>3</v>
      </c>
      <c r="I216" s="159"/>
      <c r="L216" s="156"/>
      <c r="M216" s="160"/>
      <c r="T216" s="161"/>
      <c r="AT216" s="157" t="s">
        <v>193</v>
      </c>
      <c r="AU216" s="157" t="s">
        <v>87</v>
      </c>
      <c r="AV216" s="13" t="s">
        <v>85</v>
      </c>
      <c r="AW216" s="13" t="s">
        <v>36</v>
      </c>
      <c r="AX216" s="13" t="s">
        <v>77</v>
      </c>
      <c r="AY216" s="157" t="s">
        <v>177</v>
      </c>
    </row>
    <row r="217" spans="2:51" s="12" customFormat="1" ht="11.25">
      <c r="B217" s="149"/>
      <c r="D217" s="142" t="s">
        <v>193</v>
      </c>
      <c r="E217" s="150" t="s">
        <v>3</v>
      </c>
      <c r="F217" s="151" t="s">
        <v>482</v>
      </c>
      <c r="H217" s="152">
        <v>597.794</v>
      </c>
      <c r="I217" s="153"/>
      <c r="L217" s="149"/>
      <c r="M217" s="154"/>
      <c r="T217" s="155"/>
      <c r="AT217" s="150" t="s">
        <v>193</v>
      </c>
      <c r="AU217" s="150" t="s">
        <v>87</v>
      </c>
      <c r="AV217" s="12" t="s">
        <v>87</v>
      </c>
      <c r="AW217" s="12" t="s">
        <v>36</v>
      </c>
      <c r="AX217" s="12" t="s">
        <v>85</v>
      </c>
      <c r="AY217" s="150" t="s">
        <v>177</v>
      </c>
    </row>
    <row r="218" spans="2:65" s="1" customFormat="1" ht="24.2" customHeight="1">
      <c r="B218" s="128"/>
      <c r="C218" s="179" t="s">
        <v>483</v>
      </c>
      <c r="D218" s="179" t="s">
        <v>484</v>
      </c>
      <c r="E218" s="180" t="s">
        <v>485</v>
      </c>
      <c r="F218" s="181" t="s">
        <v>486</v>
      </c>
      <c r="G218" s="182" t="s">
        <v>183</v>
      </c>
      <c r="H218" s="183">
        <v>0.584</v>
      </c>
      <c r="I218" s="184"/>
      <c r="J218" s="185">
        <f>ROUND(I218*H218,2)</f>
        <v>0</v>
      </c>
      <c r="K218" s="181" t="s">
        <v>184</v>
      </c>
      <c r="L218" s="186"/>
      <c r="M218" s="187" t="s">
        <v>3</v>
      </c>
      <c r="N218" s="188" t="s">
        <v>48</v>
      </c>
      <c r="P218" s="138">
        <f>O218*H218</f>
        <v>0</v>
      </c>
      <c r="Q218" s="138">
        <v>1</v>
      </c>
      <c r="R218" s="138">
        <f>Q218*H218</f>
        <v>0.584</v>
      </c>
      <c r="S218" s="138">
        <v>0</v>
      </c>
      <c r="T218" s="139">
        <f>S218*H218</f>
        <v>0</v>
      </c>
      <c r="AR218" s="140" t="s">
        <v>248</v>
      </c>
      <c r="AT218" s="140" t="s">
        <v>484</v>
      </c>
      <c r="AU218" s="140" t="s">
        <v>87</v>
      </c>
      <c r="AY218" s="18" t="s">
        <v>177</v>
      </c>
      <c r="BE218" s="141">
        <f>IF(N218="základní",J218,0)</f>
        <v>0</v>
      </c>
      <c r="BF218" s="141">
        <f>IF(N218="snížená",J218,0)</f>
        <v>0</v>
      </c>
      <c r="BG218" s="141">
        <f>IF(N218="zákl. přenesená",J218,0)</f>
        <v>0</v>
      </c>
      <c r="BH218" s="141">
        <f>IF(N218="sníž. přenesená",J218,0)</f>
        <v>0</v>
      </c>
      <c r="BI218" s="141">
        <f>IF(N218="nulová",J218,0)</f>
        <v>0</v>
      </c>
      <c r="BJ218" s="18" t="s">
        <v>85</v>
      </c>
      <c r="BK218" s="141">
        <f>ROUND(I218*H218,2)</f>
        <v>0</v>
      </c>
      <c r="BL218" s="18" t="s">
        <v>185</v>
      </c>
      <c r="BM218" s="140" t="s">
        <v>487</v>
      </c>
    </row>
    <row r="219" spans="2:47" s="1" customFormat="1" ht="19.5">
      <c r="B219" s="33"/>
      <c r="D219" s="142" t="s">
        <v>187</v>
      </c>
      <c r="F219" s="143" t="s">
        <v>488</v>
      </c>
      <c r="I219" s="144"/>
      <c r="L219" s="33"/>
      <c r="M219" s="145"/>
      <c r="T219" s="54"/>
      <c r="AT219" s="18" t="s">
        <v>187</v>
      </c>
      <c r="AU219" s="18" t="s">
        <v>87</v>
      </c>
    </row>
    <row r="220" spans="2:51" s="12" customFormat="1" ht="11.25">
      <c r="B220" s="149"/>
      <c r="D220" s="142" t="s">
        <v>193</v>
      </c>
      <c r="E220" s="150" t="s">
        <v>3</v>
      </c>
      <c r="F220" s="151" t="s">
        <v>489</v>
      </c>
      <c r="H220" s="152">
        <v>0.584</v>
      </c>
      <c r="I220" s="153"/>
      <c r="L220" s="149"/>
      <c r="M220" s="154"/>
      <c r="T220" s="155"/>
      <c r="AT220" s="150" t="s">
        <v>193</v>
      </c>
      <c r="AU220" s="150" t="s">
        <v>87</v>
      </c>
      <c r="AV220" s="12" t="s">
        <v>87</v>
      </c>
      <c r="AW220" s="12" t="s">
        <v>36</v>
      </c>
      <c r="AX220" s="12" t="s">
        <v>85</v>
      </c>
      <c r="AY220" s="150" t="s">
        <v>177</v>
      </c>
    </row>
    <row r="221" spans="2:65" s="1" customFormat="1" ht="24.2" customHeight="1">
      <c r="B221" s="128"/>
      <c r="C221" s="129" t="s">
        <v>490</v>
      </c>
      <c r="D221" s="129" t="s">
        <v>180</v>
      </c>
      <c r="E221" s="130" t="s">
        <v>491</v>
      </c>
      <c r="F221" s="131" t="s">
        <v>492</v>
      </c>
      <c r="G221" s="132" t="s">
        <v>476</v>
      </c>
      <c r="H221" s="133">
        <v>597.794</v>
      </c>
      <c r="I221" s="134"/>
      <c r="J221" s="135">
        <f>ROUND(I221*H221,2)</f>
        <v>0</v>
      </c>
      <c r="K221" s="131" t="s">
        <v>184</v>
      </c>
      <c r="L221" s="33"/>
      <c r="M221" s="136" t="s">
        <v>3</v>
      </c>
      <c r="N221" s="137" t="s">
        <v>48</v>
      </c>
      <c r="P221" s="138">
        <f>O221*H221</f>
        <v>0</v>
      </c>
      <c r="Q221" s="138">
        <v>0.00100641</v>
      </c>
      <c r="R221" s="138">
        <f>Q221*H221</f>
        <v>0.6016258595399999</v>
      </c>
      <c r="S221" s="138">
        <v>0.001</v>
      </c>
      <c r="T221" s="139">
        <f>S221*H221</f>
        <v>0.597794</v>
      </c>
      <c r="AR221" s="140" t="s">
        <v>185</v>
      </c>
      <c r="AT221" s="140" t="s">
        <v>180</v>
      </c>
      <c r="AU221" s="140" t="s">
        <v>87</v>
      </c>
      <c r="AY221" s="18" t="s">
        <v>177</v>
      </c>
      <c r="BE221" s="141">
        <f>IF(N221="základní",J221,0)</f>
        <v>0</v>
      </c>
      <c r="BF221" s="141">
        <f>IF(N221="snížená",J221,0)</f>
        <v>0</v>
      </c>
      <c r="BG221" s="141">
        <f>IF(N221="zákl. přenesená",J221,0)</f>
        <v>0</v>
      </c>
      <c r="BH221" s="141">
        <f>IF(N221="sníž. přenesená",J221,0)</f>
        <v>0</v>
      </c>
      <c r="BI221" s="141">
        <f>IF(N221="nulová",J221,0)</f>
        <v>0</v>
      </c>
      <c r="BJ221" s="18" t="s">
        <v>85</v>
      </c>
      <c r="BK221" s="141">
        <f>ROUND(I221*H221,2)</f>
        <v>0</v>
      </c>
      <c r="BL221" s="18" t="s">
        <v>185</v>
      </c>
      <c r="BM221" s="140" t="s">
        <v>493</v>
      </c>
    </row>
    <row r="222" spans="2:47" s="1" customFormat="1" ht="19.5">
      <c r="B222" s="33"/>
      <c r="D222" s="142" t="s">
        <v>187</v>
      </c>
      <c r="F222" s="143" t="s">
        <v>494</v>
      </c>
      <c r="I222" s="144"/>
      <c r="L222" s="33"/>
      <c r="M222" s="145"/>
      <c r="T222" s="54"/>
      <c r="AT222" s="18" t="s">
        <v>187</v>
      </c>
      <c r="AU222" s="18" t="s">
        <v>87</v>
      </c>
    </row>
    <row r="223" spans="2:47" s="1" customFormat="1" ht="11.25">
      <c r="B223" s="33"/>
      <c r="D223" s="146" t="s">
        <v>189</v>
      </c>
      <c r="F223" s="147" t="s">
        <v>495</v>
      </c>
      <c r="I223" s="144"/>
      <c r="L223" s="33"/>
      <c r="M223" s="145"/>
      <c r="T223" s="54"/>
      <c r="AT223" s="18" t="s">
        <v>189</v>
      </c>
      <c r="AU223" s="18" t="s">
        <v>87</v>
      </c>
    </row>
    <row r="224" spans="2:47" s="1" customFormat="1" ht="107.25">
      <c r="B224" s="33"/>
      <c r="D224" s="142" t="s">
        <v>191</v>
      </c>
      <c r="F224" s="148" t="s">
        <v>480</v>
      </c>
      <c r="I224" s="144"/>
      <c r="L224" s="33"/>
      <c r="M224" s="145"/>
      <c r="T224" s="54"/>
      <c r="AT224" s="18" t="s">
        <v>191</v>
      </c>
      <c r="AU224" s="18" t="s">
        <v>87</v>
      </c>
    </row>
    <row r="225" spans="2:51" s="13" customFormat="1" ht="11.25">
      <c r="B225" s="156"/>
      <c r="D225" s="142" t="s">
        <v>193</v>
      </c>
      <c r="E225" s="157" t="s">
        <v>3</v>
      </c>
      <c r="F225" s="158" t="s">
        <v>481</v>
      </c>
      <c r="H225" s="157" t="s">
        <v>3</v>
      </c>
      <c r="I225" s="159"/>
      <c r="L225" s="156"/>
      <c r="M225" s="160"/>
      <c r="T225" s="161"/>
      <c r="AT225" s="157" t="s">
        <v>193</v>
      </c>
      <c r="AU225" s="157" t="s">
        <v>87</v>
      </c>
      <c r="AV225" s="13" t="s">
        <v>85</v>
      </c>
      <c r="AW225" s="13" t="s">
        <v>36</v>
      </c>
      <c r="AX225" s="13" t="s">
        <v>77</v>
      </c>
      <c r="AY225" s="157" t="s">
        <v>177</v>
      </c>
    </row>
    <row r="226" spans="2:51" s="12" customFormat="1" ht="11.25">
      <c r="B226" s="149"/>
      <c r="D226" s="142" t="s">
        <v>193</v>
      </c>
      <c r="E226" s="150" t="s">
        <v>3</v>
      </c>
      <c r="F226" s="151" t="s">
        <v>482</v>
      </c>
      <c r="H226" s="152">
        <v>597.794</v>
      </c>
      <c r="I226" s="153"/>
      <c r="L226" s="149"/>
      <c r="M226" s="154"/>
      <c r="T226" s="155"/>
      <c r="AT226" s="150" t="s">
        <v>193</v>
      </c>
      <c r="AU226" s="150" t="s">
        <v>87</v>
      </c>
      <c r="AV226" s="12" t="s">
        <v>87</v>
      </c>
      <c r="AW226" s="12" t="s">
        <v>36</v>
      </c>
      <c r="AX226" s="12" t="s">
        <v>85</v>
      </c>
      <c r="AY226" s="150" t="s">
        <v>177</v>
      </c>
    </row>
    <row r="227" spans="2:65" s="1" customFormat="1" ht="24.2" customHeight="1">
      <c r="B227" s="128"/>
      <c r="C227" s="179" t="s">
        <v>496</v>
      </c>
      <c r="D227" s="179" t="s">
        <v>484</v>
      </c>
      <c r="E227" s="180" t="s">
        <v>497</v>
      </c>
      <c r="F227" s="181" t="s">
        <v>498</v>
      </c>
      <c r="G227" s="182" t="s">
        <v>183</v>
      </c>
      <c r="H227" s="183">
        <v>1.485</v>
      </c>
      <c r="I227" s="184"/>
      <c r="J227" s="185">
        <f>ROUND(I227*H227,2)</f>
        <v>0</v>
      </c>
      <c r="K227" s="181" t="s">
        <v>184</v>
      </c>
      <c r="L227" s="186"/>
      <c r="M227" s="187" t="s">
        <v>3</v>
      </c>
      <c r="N227" s="188" t="s">
        <v>48</v>
      </c>
      <c r="P227" s="138">
        <f>O227*H227</f>
        <v>0</v>
      </c>
      <c r="Q227" s="138">
        <v>1</v>
      </c>
      <c r="R227" s="138">
        <f>Q227*H227</f>
        <v>1.485</v>
      </c>
      <c r="S227" s="138">
        <v>0</v>
      </c>
      <c r="T227" s="139">
        <f>S227*H227</f>
        <v>0</v>
      </c>
      <c r="AR227" s="140" t="s">
        <v>248</v>
      </c>
      <c r="AT227" s="140" t="s">
        <v>484</v>
      </c>
      <c r="AU227" s="140" t="s">
        <v>87</v>
      </c>
      <c r="AY227" s="18" t="s">
        <v>177</v>
      </c>
      <c r="BE227" s="141">
        <f>IF(N227="základní",J227,0)</f>
        <v>0</v>
      </c>
      <c r="BF227" s="141">
        <f>IF(N227="snížená",J227,0)</f>
        <v>0</v>
      </c>
      <c r="BG227" s="141">
        <f>IF(N227="zákl. přenesená",J227,0)</f>
        <v>0</v>
      </c>
      <c r="BH227" s="141">
        <f>IF(N227="sníž. přenesená",J227,0)</f>
        <v>0</v>
      </c>
      <c r="BI227" s="141">
        <f>IF(N227="nulová",J227,0)</f>
        <v>0</v>
      </c>
      <c r="BJ227" s="18" t="s">
        <v>85</v>
      </c>
      <c r="BK227" s="141">
        <f>ROUND(I227*H227,2)</f>
        <v>0</v>
      </c>
      <c r="BL227" s="18" t="s">
        <v>185</v>
      </c>
      <c r="BM227" s="140" t="s">
        <v>499</v>
      </c>
    </row>
    <row r="228" spans="2:47" s="1" customFormat="1" ht="19.5">
      <c r="B228" s="33"/>
      <c r="D228" s="142" t="s">
        <v>187</v>
      </c>
      <c r="F228" s="143" t="s">
        <v>500</v>
      </c>
      <c r="I228" s="144"/>
      <c r="L228" s="33"/>
      <c r="M228" s="145"/>
      <c r="T228" s="54"/>
      <c r="AT228" s="18" t="s">
        <v>187</v>
      </c>
      <c r="AU228" s="18" t="s">
        <v>87</v>
      </c>
    </row>
    <row r="229" spans="2:51" s="12" customFormat="1" ht="11.25">
      <c r="B229" s="149"/>
      <c r="D229" s="142" t="s">
        <v>193</v>
      </c>
      <c r="E229" s="150" t="s">
        <v>3</v>
      </c>
      <c r="F229" s="151" t="s">
        <v>501</v>
      </c>
      <c r="H229" s="152">
        <v>1.485</v>
      </c>
      <c r="I229" s="153"/>
      <c r="L229" s="149"/>
      <c r="M229" s="154"/>
      <c r="T229" s="155"/>
      <c r="AT229" s="150" t="s">
        <v>193</v>
      </c>
      <c r="AU229" s="150" t="s">
        <v>87</v>
      </c>
      <c r="AV229" s="12" t="s">
        <v>87</v>
      </c>
      <c r="AW229" s="12" t="s">
        <v>36</v>
      </c>
      <c r="AX229" s="12" t="s">
        <v>85</v>
      </c>
      <c r="AY229" s="150" t="s">
        <v>177</v>
      </c>
    </row>
    <row r="230" spans="2:63" s="11" customFormat="1" ht="22.9" customHeight="1">
      <c r="B230" s="116"/>
      <c r="D230" s="117" t="s">
        <v>76</v>
      </c>
      <c r="E230" s="126" t="s">
        <v>178</v>
      </c>
      <c r="F230" s="126" t="s">
        <v>179</v>
      </c>
      <c r="I230" s="119"/>
      <c r="J230" s="127">
        <f>BK230</f>
        <v>0</v>
      </c>
      <c r="L230" s="116"/>
      <c r="M230" s="121"/>
      <c r="P230" s="122">
        <f>SUM(P231:P252)</f>
        <v>0</v>
      </c>
      <c r="R230" s="122">
        <f>SUM(R231:R252)</f>
        <v>0</v>
      </c>
      <c r="T230" s="123">
        <f>SUM(T231:T252)</f>
        <v>0</v>
      </c>
      <c r="AR230" s="117" t="s">
        <v>85</v>
      </c>
      <c r="AT230" s="124" t="s">
        <v>76</v>
      </c>
      <c r="AU230" s="124" t="s">
        <v>85</v>
      </c>
      <c r="AY230" s="117" t="s">
        <v>177</v>
      </c>
      <c r="BK230" s="125">
        <f>SUM(BK231:BK252)</f>
        <v>0</v>
      </c>
    </row>
    <row r="231" spans="2:65" s="1" customFormat="1" ht="24.2" customHeight="1">
      <c r="B231" s="128"/>
      <c r="C231" s="129" t="s">
        <v>502</v>
      </c>
      <c r="D231" s="129" t="s">
        <v>180</v>
      </c>
      <c r="E231" s="130" t="s">
        <v>181</v>
      </c>
      <c r="F231" s="131" t="s">
        <v>182</v>
      </c>
      <c r="G231" s="132" t="s">
        <v>183</v>
      </c>
      <c r="H231" s="133">
        <v>126.489</v>
      </c>
      <c r="I231" s="134"/>
      <c r="J231" s="135">
        <f>ROUND(I231*H231,2)</f>
        <v>0</v>
      </c>
      <c r="K231" s="131" t="s">
        <v>184</v>
      </c>
      <c r="L231" s="33"/>
      <c r="M231" s="136" t="s">
        <v>3</v>
      </c>
      <c r="N231" s="137" t="s">
        <v>48</v>
      </c>
      <c r="P231" s="138">
        <f>O231*H231</f>
        <v>0</v>
      </c>
      <c r="Q231" s="138">
        <v>0</v>
      </c>
      <c r="R231" s="138">
        <f>Q231*H231</f>
        <v>0</v>
      </c>
      <c r="S231" s="138">
        <v>0</v>
      </c>
      <c r="T231" s="139">
        <f>S231*H231</f>
        <v>0</v>
      </c>
      <c r="AR231" s="140" t="s">
        <v>185</v>
      </c>
      <c r="AT231" s="140" t="s">
        <v>180</v>
      </c>
      <c r="AU231" s="140" t="s">
        <v>87</v>
      </c>
      <c r="AY231" s="18" t="s">
        <v>177</v>
      </c>
      <c r="BE231" s="141">
        <f>IF(N231="základní",J231,0)</f>
        <v>0</v>
      </c>
      <c r="BF231" s="141">
        <f>IF(N231="snížená",J231,0)</f>
        <v>0</v>
      </c>
      <c r="BG231" s="141">
        <f>IF(N231="zákl. přenesená",J231,0)</f>
        <v>0</v>
      </c>
      <c r="BH231" s="141">
        <f>IF(N231="sníž. přenesená",J231,0)</f>
        <v>0</v>
      </c>
      <c r="BI231" s="141">
        <f>IF(N231="nulová",J231,0)</f>
        <v>0</v>
      </c>
      <c r="BJ231" s="18" t="s">
        <v>85</v>
      </c>
      <c r="BK231" s="141">
        <f>ROUND(I231*H231,2)</f>
        <v>0</v>
      </c>
      <c r="BL231" s="18" t="s">
        <v>185</v>
      </c>
      <c r="BM231" s="140" t="s">
        <v>503</v>
      </c>
    </row>
    <row r="232" spans="2:47" s="1" customFormat="1" ht="19.5">
      <c r="B232" s="33"/>
      <c r="D232" s="142" t="s">
        <v>187</v>
      </c>
      <c r="F232" s="143" t="s">
        <v>188</v>
      </c>
      <c r="I232" s="144"/>
      <c r="L232" s="33"/>
      <c r="M232" s="145"/>
      <c r="T232" s="54"/>
      <c r="AT232" s="18" t="s">
        <v>187</v>
      </c>
      <c r="AU232" s="18" t="s">
        <v>87</v>
      </c>
    </row>
    <row r="233" spans="2:47" s="1" customFormat="1" ht="11.25">
      <c r="B233" s="33"/>
      <c r="D233" s="146" t="s">
        <v>189</v>
      </c>
      <c r="F233" s="147" t="s">
        <v>190</v>
      </c>
      <c r="I233" s="144"/>
      <c r="L233" s="33"/>
      <c r="M233" s="145"/>
      <c r="T233" s="54"/>
      <c r="AT233" s="18" t="s">
        <v>189</v>
      </c>
      <c r="AU233" s="18" t="s">
        <v>87</v>
      </c>
    </row>
    <row r="234" spans="2:47" s="1" customFormat="1" ht="146.25">
      <c r="B234" s="33"/>
      <c r="D234" s="142" t="s">
        <v>191</v>
      </c>
      <c r="F234" s="148" t="s">
        <v>192</v>
      </c>
      <c r="I234" s="144"/>
      <c r="L234" s="33"/>
      <c r="M234" s="145"/>
      <c r="T234" s="54"/>
      <c r="AT234" s="18" t="s">
        <v>191</v>
      </c>
      <c r="AU234" s="18" t="s">
        <v>87</v>
      </c>
    </row>
    <row r="235" spans="2:65" s="1" customFormat="1" ht="33" customHeight="1">
      <c r="B235" s="128"/>
      <c r="C235" s="129" t="s">
        <v>504</v>
      </c>
      <c r="D235" s="129" t="s">
        <v>180</v>
      </c>
      <c r="E235" s="130" t="s">
        <v>202</v>
      </c>
      <c r="F235" s="131" t="s">
        <v>203</v>
      </c>
      <c r="G235" s="132" t="s">
        <v>183</v>
      </c>
      <c r="H235" s="133">
        <v>252.978</v>
      </c>
      <c r="I235" s="134"/>
      <c r="J235" s="135">
        <f>ROUND(I235*H235,2)</f>
        <v>0</v>
      </c>
      <c r="K235" s="131" t="s">
        <v>184</v>
      </c>
      <c r="L235" s="33"/>
      <c r="M235" s="136" t="s">
        <v>3</v>
      </c>
      <c r="N235" s="137" t="s">
        <v>48</v>
      </c>
      <c r="P235" s="138">
        <f>O235*H235</f>
        <v>0</v>
      </c>
      <c r="Q235" s="138">
        <v>0</v>
      </c>
      <c r="R235" s="138">
        <f>Q235*H235</f>
        <v>0</v>
      </c>
      <c r="S235" s="138">
        <v>0</v>
      </c>
      <c r="T235" s="139">
        <f>S235*H235</f>
        <v>0</v>
      </c>
      <c r="AR235" s="140" t="s">
        <v>185</v>
      </c>
      <c r="AT235" s="140" t="s">
        <v>180</v>
      </c>
      <c r="AU235" s="140" t="s">
        <v>87</v>
      </c>
      <c r="AY235" s="18" t="s">
        <v>177</v>
      </c>
      <c r="BE235" s="141">
        <f>IF(N235="základní",J235,0)</f>
        <v>0</v>
      </c>
      <c r="BF235" s="141">
        <f>IF(N235="snížená",J235,0)</f>
        <v>0</v>
      </c>
      <c r="BG235" s="141">
        <f>IF(N235="zákl. přenesená",J235,0)</f>
        <v>0</v>
      </c>
      <c r="BH235" s="141">
        <f>IF(N235="sníž. přenesená",J235,0)</f>
        <v>0</v>
      </c>
      <c r="BI235" s="141">
        <f>IF(N235="nulová",J235,0)</f>
        <v>0</v>
      </c>
      <c r="BJ235" s="18" t="s">
        <v>85</v>
      </c>
      <c r="BK235" s="141">
        <f>ROUND(I235*H235,2)</f>
        <v>0</v>
      </c>
      <c r="BL235" s="18" t="s">
        <v>185</v>
      </c>
      <c r="BM235" s="140" t="s">
        <v>505</v>
      </c>
    </row>
    <row r="236" spans="2:47" s="1" customFormat="1" ht="39">
      <c r="B236" s="33"/>
      <c r="D236" s="142" t="s">
        <v>187</v>
      </c>
      <c r="F236" s="143" t="s">
        <v>205</v>
      </c>
      <c r="I236" s="144"/>
      <c r="L236" s="33"/>
      <c r="M236" s="145"/>
      <c r="T236" s="54"/>
      <c r="AT236" s="18" t="s">
        <v>187</v>
      </c>
      <c r="AU236" s="18" t="s">
        <v>87</v>
      </c>
    </row>
    <row r="237" spans="2:47" s="1" customFormat="1" ht="11.25">
      <c r="B237" s="33"/>
      <c r="D237" s="146" t="s">
        <v>189</v>
      </c>
      <c r="F237" s="147" t="s">
        <v>206</v>
      </c>
      <c r="I237" s="144"/>
      <c r="L237" s="33"/>
      <c r="M237" s="145"/>
      <c r="T237" s="54"/>
      <c r="AT237" s="18" t="s">
        <v>189</v>
      </c>
      <c r="AU237" s="18" t="s">
        <v>87</v>
      </c>
    </row>
    <row r="238" spans="2:47" s="1" customFormat="1" ht="146.25">
      <c r="B238" s="33"/>
      <c r="D238" s="142" t="s">
        <v>191</v>
      </c>
      <c r="F238" s="148" t="s">
        <v>192</v>
      </c>
      <c r="I238" s="144"/>
      <c r="L238" s="33"/>
      <c r="M238" s="145"/>
      <c r="T238" s="54"/>
      <c r="AT238" s="18" t="s">
        <v>191</v>
      </c>
      <c r="AU238" s="18" t="s">
        <v>87</v>
      </c>
    </row>
    <row r="239" spans="2:51" s="12" customFormat="1" ht="11.25">
      <c r="B239" s="149"/>
      <c r="D239" s="142" t="s">
        <v>193</v>
      </c>
      <c r="F239" s="151" t="s">
        <v>506</v>
      </c>
      <c r="H239" s="152">
        <v>252.978</v>
      </c>
      <c r="I239" s="153"/>
      <c r="L239" s="149"/>
      <c r="M239" s="154"/>
      <c r="T239" s="155"/>
      <c r="AT239" s="150" t="s">
        <v>193</v>
      </c>
      <c r="AU239" s="150" t="s">
        <v>87</v>
      </c>
      <c r="AV239" s="12" t="s">
        <v>87</v>
      </c>
      <c r="AW239" s="12" t="s">
        <v>4</v>
      </c>
      <c r="AX239" s="12" t="s">
        <v>85</v>
      </c>
      <c r="AY239" s="150" t="s">
        <v>177</v>
      </c>
    </row>
    <row r="240" spans="2:65" s="1" customFormat="1" ht="24.2" customHeight="1">
      <c r="B240" s="128"/>
      <c r="C240" s="129" t="s">
        <v>507</v>
      </c>
      <c r="D240" s="129" t="s">
        <v>180</v>
      </c>
      <c r="E240" s="130" t="s">
        <v>208</v>
      </c>
      <c r="F240" s="131" t="s">
        <v>209</v>
      </c>
      <c r="G240" s="132" t="s">
        <v>183</v>
      </c>
      <c r="H240" s="133">
        <v>126.489</v>
      </c>
      <c r="I240" s="134"/>
      <c r="J240" s="135">
        <f>ROUND(I240*H240,2)</f>
        <v>0</v>
      </c>
      <c r="K240" s="131" t="s">
        <v>184</v>
      </c>
      <c r="L240" s="33"/>
      <c r="M240" s="136" t="s">
        <v>3</v>
      </c>
      <c r="N240" s="137" t="s">
        <v>48</v>
      </c>
      <c r="P240" s="138">
        <f>O240*H240</f>
        <v>0</v>
      </c>
      <c r="Q240" s="138">
        <v>0</v>
      </c>
      <c r="R240" s="138">
        <f>Q240*H240</f>
        <v>0</v>
      </c>
      <c r="S240" s="138">
        <v>0</v>
      </c>
      <c r="T240" s="139">
        <f>S240*H240</f>
        <v>0</v>
      </c>
      <c r="AR240" s="140" t="s">
        <v>185</v>
      </c>
      <c r="AT240" s="140" t="s">
        <v>180</v>
      </c>
      <c r="AU240" s="140" t="s">
        <v>87</v>
      </c>
      <c r="AY240" s="18" t="s">
        <v>177</v>
      </c>
      <c r="BE240" s="141">
        <f>IF(N240="základní",J240,0)</f>
        <v>0</v>
      </c>
      <c r="BF240" s="141">
        <f>IF(N240="snížená",J240,0)</f>
        <v>0</v>
      </c>
      <c r="BG240" s="141">
        <f>IF(N240="zákl. přenesená",J240,0)</f>
        <v>0</v>
      </c>
      <c r="BH240" s="141">
        <f>IF(N240="sníž. přenesená",J240,0)</f>
        <v>0</v>
      </c>
      <c r="BI240" s="141">
        <f>IF(N240="nulová",J240,0)</f>
        <v>0</v>
      </c>
      <c r="BJ240" s="18" t="s">
        <v>85</v>
      </c>
      <c r="BK240" s="141">
        <f>ROUND(I240*H240,2)</f>
        <v>0</v>
      </c>
      <c r="BL240" s="18" t="s">
        <v>185</v>
      </c>
      <c r="BM240" s="140" t="s">
        <v>508</v>
      </c>
    </row>
    <row r="241" spans="2:47" s="1" customFormat="1" ht="19.5">
      <c r="B241" s="33"/>
      <c r="D241" s="142" t="s">
        <v>187</v>
      </c>
      <c r="F241" s="143" t="s">
        <v>211</v>
      </c>
      <c r="I241" s="144"/>
      <c r="L241" s="33"/>
      <c r="M241" s="145"/>
      <c r="T241" s="54"/>
      <c r="AT241" s="18" t="s">
        <v>187</v>
      </c>
      <c r="AU241" s="18" t="s">
        <v>87</v>
      </c>
    </row>
    <row r="242" spans="2:47" s="1" customFormat="1" ht="11.25">
      <c r="B242" s="33"/>
      <c r="D242" s="146" t="s">
        <v>189</v>
      </c>
      <c r="F242" s="147" t="s">
        <v>212</v>
      </c>
      <c r="I242" s="144"/>
      <c r="L242" s="33"/>
      <c r="M242" s="145"/>
      <c r="T242" s="54"/>
      <c r="AT242" s="18" t="s">
        <v>189</v>
      </c>
      <c r="AU242" s="18" t="s">
        <v>87</v>
      </c>
    </row>
    <row r="243" spans="2:47" s="1" customFormat="1" ht="97.5">
      <c r="B243" s="33"/>
      <c r="D243" s="142" t="s">
        <v>191</v>
      </c>
      <c r="F243" s="148" t="s">
        <v>213</v>
      </c>
      <c r="I243" s="144"/>
      <c r="L243" s="33"/>
      <c r="M243" s="145"/>
      <c r="T243" s="54"/>
      <c r="AT243" s="18" t="s">
        <v>191</v>
      </c>
      <c r="AU243" s="18" t="s">
        <v>87</v>
      </c>
    </row>
    <row r="244" spans="2:65" s="1" customFormat="1" ht="24.2" customHeight="1">
      <c r="B244" s="128"/>
      <c r="C244" s="129" t="s">
        <v>509</v>
      </c>
      <c r="D244" s="129" t="s">
        <v>180</v>
      </c>
      <c r="E244" s="130" t="s">
        <v>214</v>
      </c>
      <c r="F244" s="131" t="s">
        <v>215</v>
      </c>
      <c r="G244" s="132" t="s">
        <v>183</v>
      </c>
      <c r="H244" s="133">
        <v>2403.291</v>
      </c>
      <c r="I244" s="134"/>
      <c r="J244" s="135">
        <f>ROUND(I244*H244,2)</f>
        <v>0</v>
      </c>
      <c r="K244" s="131" t="s">
        <v>184</v>
      </c>
      <c r="L244" s="33"/>
      <c r="M244" s="136" t="s">
        <v>3</v>
      </c>
      <c r="N244" s="137" t="s">
        <v>48</v>
      </c>
      <c r="P244" s="138">
        <f>O244*H244</f>
        <v>0</v>
      </c>
      <c r="Q244" s="138">
        <v>0</v>
      </c>
      <c r="R244" s="138">
        <f>Q244*H244</f>
        <v>0</v>
      </c>
      <c r="S244" s="138">
        <v>0</v>
      </c>
      <c r="T244" s="139">
        <f>S244*H244</f>
        <v>0</v>
      </c>
      <c r="AR244" s="140" t="s">
        <v>185</v>
      </c>
      <c r="AT244" s="140" t="s">
        <v>180</v>
      </c>
      <c r="AU244" s="140" t="s">
        <v>87</v>
      </c>
      <c r="AY244" s="18" t="s">
        <v>177</v>
      </c>
      <c r="BE244" s="141">
        <f>IF(N244="základní",J244,0)</f>
        <v>0</v>
      </c>
      <c r="BF244" s="141">
        <f>IF(N244="snížená",J244,0)</f>
        <v>0</v>
      </c>
      <c r="BG244" s="141">
        <f>IF(N244="zákl. přenesená",J244,0)</f>
        <v>0</v>
      </c>
      <c r="BH244" s="141">
        <f>IF(N244="sníž. přenesená",J244,0)</f>
        <v>0</v>
      </c>
      <c r="BI244" s="141">
        <f>IF(N244="nulová",J244,0)</f>
        <v>0</v>
      </c>
      <c r="BJ244" s="18" t="s">
        <v>85</v>
      </c>
      <c r="BK244" s="141">
        <f>ROUND(I244*H244,2)</f>
        <v>0</v>
      </c>
      <c r="BL244" s="18" t="s">
        <v>185</v>
      </c>
      <c r="BM244" s="140" t="s">
        <v>510</v>
      </c>
    </row>
    <row r="245" spans="2:47" s="1" customFormat="1" ht="29.25">
      <c r="B245" s="33"/>
      <c r="D245" s="142" t="s">
        <v>187</v>
      </c>
      <c r="F245" s="143" t="s">
        <v>217</v>
      </c>
      <c r="I245" s="144"/>
      <c r="L245" s="33"/>
      <c r="M245" s="145"/>
      <c r="T245" s="54"/>
      <c r="AT245" s="18" t="s">
        <v>187</v>
      </c>
      <c r="AU245" s="18" t="s">
        <v>87</v>
      </c>
    </row>
    <row r="246" spans="2:47" s="1" customFormat="1" ht="11.25">
      <c r="B246" s="33"/>
      <c r="D246" s="146" t="s">
        <v>189</v>
      </c>
      <c r="F246" s="147" t="s">
        <v>218</v>
      </c>
      <c r="I246" s="144"/>
      <c r="L246" s="33"/>
      <c r="M246" s="145"/>
      <c r="T246" s="54"/>
      <c r="AT246" s="18" t="s">
        <v>189</v>
      </c>
      <c r="AU246" s="18" t="s">
        <v>87</v>
      </c>
    </row>
    <row r="247" spans="2:47" s="1" customFormat="1" ht="97.5">
      <c r="B247" s="33"/>
      <c r="D247" s="142" t="s">
        <v>191</v>
      </c>
      <c r="F247" s="148" t="s">
        <v>213</v>
      </c>
      <c r="I247" s="144"/>
      <c r="L247" s="33"/>
      <c r="M247" s="145"/>
      <c r="T247" s="54"/>
      <c r="AT247" s="18" t="s">
        <v>191</v>
      </c>
      <c r="AU247" s="18" t="s">
        <v>87</v>
      </c>
    </row>
    <row r="248" spans="2:51" s="12" customFormat="1" ht="11.25">
      <c r="B248" s="149"/>
      <c r="D248" s="142" t="s">
        <v>193</v>
      </c>
      <c r="F248" s="151" t="s">
        <v>511</v>
      </c>
      <c r="H248" s="152">
        <v>2403.291</v>
      </c>
      <c r="I248" s="153"/>
      <c r="L248" s="149"/>
      <c r="M248" s="154"/>
      <c r="T248" s="155"/>
      <c r="AT248" s="150" t="s">
        <v>193</v>
      </c>
      <c r="AU248" s="150" t="s">
        <v>87</v>
      </c>
      <c r="AV248" s="12" t="s">
        <v>87</v>
      </c>
      <c r="AW248" s="12" t="s">
        <v>4</v>
      </c>
      <c r="AX248" s="12" t="s">
        <v>85</v>
      </c>
      <c r="AY248" s="150" t="s">
        <v>177</v>
      </c>
    </row>
    <row r="249" spans="2:65" s="1" customFormat="1" ht="37.9" customHeight="1">
      <c r="B249" s="128"/>
      <c r="C249" s="129" t="s">
        <v>512</v>
      </c>
      <c r="D249" s="129" t="s">
        <v>180</v>
      </c>
      <c r="E249" s="130" t="s">
        <v>513</v>
      </c>
      <c r="F249" s="131" t="s">
        <v>514</v>
      </c>
      <c r="G249" s="132" t="s">
        <v>183</v>
      </c>
      <c r="H249" s="133">
        <v>73.332</v>
      </c>
      <c r="I249" s="134"/>
      <c r="J249" s="135">
        <f>ROUND(I249*H249,2)</f>
        <v>0</v>
      </c>
      <c r="K249" s="131" t="s">
        <v>184</v>
      </c>
      <c r="L249" s="33"/>
      <c r="M249" s="136" t="s">
        <v>3</v>
      </c>
      <c r="N249" s="137" t="s">
        <v>48</v>
      </c>
      <c r="P249" s="138">
        <f>O249*H249</f>
        <v>0</v>
      </c>
      <c r="Q249" s="138">
        <v>0</v>
      </c>
      <c r="R249" s="138">
        <f>Q249*H249</f>
        <v>0</v>
      </c>
      <c r="S249" s="138">
        <v>0</v>
      </c>
      <c r="T249" s="139">
        <f>S249*H249</f>
        <v>0</v>
      </c>
      <c r="AR249" s="140" t="s">
        <v>185</v>
      </c>
      <c r="AT249" s="140" t="s">
        <v>180</v>
      </c>
      <c r="AU249" s="140" t="s">
        <v>87</v>
      </c>
      <c r="AY249" s="18" t="s">
        <v>177</v>
      </c>
      <c r="BE249" s="141">
        <f>IF(N249="základní",J249,0)</f>
        <v>0</v>
      </c>
      <c r="BF249" s="141">
        <f>IF(N249="snížená",J249,0)</f>
        <v>0</v>
      </c>
      <c r="BG249" s="141">
        <f>IF(N249="zákl. přenesená",J249,0)</f>
        <v>0</v>
      </c>
      <c r="BH249" s="141">
        <f>IF(N249="sníž. přenesená",J249,0)</f>
        <v>0</v>
      </c>
      <c r="BI249" s="141">
        <f>IF(N249="nulová",J249,0)</f>
        <v>0</v>
      </c>
      <c r="BJ249" s="18" t="s">
        <v>85</v>
      </c>
      <c r="BK249" s="141">
        <f>ROUND(I249*H249,2)</f>
        <v>0</v>
      </c>
      <c r="BL249" s="18" t="s">
        <v>185</v>
      </c>
      <c r="BM249" s="140" t="s">
        <v>515</v>
      </c>
    </row>
    <row r="250" spans="2:47" s="1" customFormat="1" ht="29.25">
      <c r="B250" s="33"/>
      <c r="D250" s="142" t="s">
        <v>187</v>
      </c>
      <c r="F250" s="143" t="s">
        <v>516</v>
      </c>
      <c r="I250" s="144"/>
      <c r="L250" s="33"/>
      <c r="M250" s="145"/>
      <c r="T250" s="54"/>
      <c r="AT250" s="18" t="s">
        <v>187</v>
      </c>
      <c r="AU250" s="18" t="s">
        <v>87</v>
      </c>
    </row>
    <row r="251" spans="2:47" s="1" customFormat="1" ht="11.25">
      <c r="B251" s="33"/>
      <c r="D251" s="146" t="s">
        <v>189</v>
      </c>
      <c r="F251" s="147" t="s">
        <v>517</v>
      </c>
      <c r="I251" s="144"/>
      <c r="L251" s="33"/>
      <c r="M251" s="145"/>
      <c r="T251" s="54"/>
      <c r="AT251" s="18" t="s">
        <v>189</v>
      </c>
      <c r="AU251" s="18" t="s">
        <v>87</v>
      </c>
    </row>
    <row r="252" spans="2:47" s="1" customFormat="1" ht="58.5">
      <c r="B252" s="33"/>
      <c r="D252" s="142" t="s">
        <v>191</v>
      </c>
      <c r="F252" s="148" t="s">
        <v>228</v>
      </c>
      <c r="I252" s="144"/>
      <c r="L252" s="33"/>
      <c r="M252" s="145"/>
      <c r="T252" s="54"/>
      <c r="AT252" s="18" t="s">
        <v>191</v>
      </c>
      <c r="AU252" s="18" t="s">
        <v>87</v>
      </c>
    </row>
    <row r="253" spans="2:63" s="11" customFormat="1" ht="22.9" customHeight="1">
      <c r="B253" s="116"/>
      <c r="D253" s="117" t="s">
        <v>76</v>
      </c>
      <c r="E253" s="126" t="s">
        <v>518</v>
      </c>
      <c r="F253" s="126" t="s">
        <v>519</v>
      </c>
      <c r="I253" s="119"/>
      <c r="J253" s="127">
        <f>BK253</f>
        <v>0</v>
      </c>
      <c r="L253" s="116"/>
      <c r="M253" s="121"/>
      <c r="P253" s="122">
        <f>SUM(P254:P257)</f>
        <v>0</v>
      </c>
      <c r="R253" s="122">
        <f>SUM(R254:R257)</f>
        <v>0</v>
      </c>
      <c r="T253" s="123">
        <f>SUM(T254:T257)</f>
        <v>0</v>
      </c>
      <c r="AR253" s="117" t="s">
        <v>85</v>
      </c>
      <c r="AT253" s="124" t="s">
        <v>76</v>
      </c>
      <c r="AU253" s="124" t="s">
        <v>85</v>
      </c>
      <c r="AY253" s="117" t="s">
        <v>177</v>
      </c>
      <c r="BK253" s="125">
        <f>SUM(BK254:BK257)</f>
        <v>0</v>
      </c>
    </row>
    <row r="254" spans="2:65" s="1" customFormat="1" ht="21.75" customHeight="1">
      <c r="B254" s="128"/>
      <c r="C254" s="129" t="s">
        <v>520</v>
      </c>
      <c r="D254" s="129" t="s">
        <v>180</v>
      </c>
      <c r="E254" s="130" t="s">
        <v>521</v>
      </c>
      <c r="F254" s="131" t="s">
        <v>522</v>
      </c>
      <c r="G254" s="132" t="s">
        <v>183</v>
      </c>
      <c r="H254" s="133">
        <v>60.748</v>
      </c>
      <c r="I254" s="134"/>
      <c r="J254" s="135">
        <f>ROUND(I254*H254,2)</f>
        <v>0</v>
      </c>
      <c r="K254" s="131" t="s">
        <v>184</v>
      </c>
      <c r="L254" s="33"/>
      <c r="M254" s="136" t="s">
        <v>3</v>
      </c>
      <c r="N254" s="137" t="s">
        <v>48</v>
      </c>
      <c r="P254" s="138">
        <f>O254*H254</f>
        <v>0</v>
      </c>
      <c r="Q254" s="138">
        <v>0</v>
      </c>
      <c r="R254" s="138">
        <f>Q254*H254</f>
        <v>0</v>
      </c>
      <c r="S254" s="138">
        <v>0</v>
      </c>
      <c r="T254" s="139">
        <f>S254*H254</f>
        <v>0</v>
      </c>
      <c r="AR254" s="140" t="s">
        <v>185</v>
      </c>
      <c r="AT254" s="140" t="s">
        <v>180</v>
      </c>
      <c r="AU254" s="140" t="s">
        <v>87</v>
      </c>
      <c r="AY254" s="18" t="s">
        <v>177</v>
      </c>
      <c r="BE254" s="141">
        <f>IF(N254="základní",J254,0)</f>
        <v>0</v>
      </c>
      <c r="BF254" s="141">
        <f>IF(N254="snížená",J254,0)</f>
        <v>0</v>
      </c>
      <c r="BG254" s="141">
        <f>IF(N254="zákl. přenesená",J254,0)</f>
        <v>0</v>
      </c>
      <c r="BH254" s="141">
        <f>IF(N254="sníž. přenesená",J254,0)</f>
        <v>0</v>
      </c>
      <c r="BI254" s="141">
        <f>IF(N254="nulová",J254,0)</f>
        <v>0</v>
      </c>
      <c r="BJ254" s="18" t="s">
        <v>85</v>
      </c>
      <c r="BK254" s="141">
        <f>ROUND(I254*H254,2)</f>
        <v>0</v>
      </c>
      <c r="BL254" s="18" t="s">
        <v>185</v>
      </c>
      <c r="BM254" s="140" t="s">
        <v>523</v>
      </c>
    </row>
    <row r="255" spans="2:47" s="1" customFormat="1" ht="39">
      <c r="B255" s="33"/>
      <c r="D255" s="142" t="s">
        <v>187</v>
      </c>
      <c r="F255" s="143" t="s">
        <v>524</v>
      </c>
      <c r="I255" s="144"/>
      <c r="L255" s="33"/>
      <c r="M255" s="145"/>
      <c r="T255" s="54"/>
      <c r="AT255" s="18" t="s">
        <v>187</v>
      </c>
      <c r="AU255" s="18" t="s">
        <v>87</v>
      </c>
    </row>
    <row r="256" spans="2:47" s="1" customFormat="1" ht="11.25">
      <c r="B256" s="33"/>
      <c r="D256" s="146" t="s">
        <v>189</v>
      </c>
      <c r="F256" s="147" t="s">
        <v>525</v>
      </c>
      <c r="I256" s="144"/>
      <c r="L256" s="33"/>
      <c r="M256" s="145"/>
      <c r="T256" s="54"/>
      <c r="AT256" s="18" t="s">
        <v>189</v>
      </c>
      <c r="AU256" s="18" t="s">
        <v>87</v>
      </c>
    </row>
    <row r="257" spans="2:47" s="1" customFormat="1" ht="87.75">
      <c r="B257" s="33"/>
      <c r="D257" s="142" t="s">
        <v>191</v>
      </c>
      <c r="F257" s="148" t="s">
        <v>526</v>
      </c>
      <c r="I257" s="144"/>
      <c r="L257" s="33"/>
      <c r="M257" s="145"/>
      <c r="T257" s="54"/>
      <c r="AT257" s="18" t="s">
        <v>191</v>
      </c>
      <c r="AU257" s="18" t="s">
        <v>87</v>
      </c>
    </row>
    <row r="258" spans="2:63" s="11" customFormat="1" ht="25.9" customHeight="1">
      <c r="B258" s="116"/>
      <c r="D258" s="117" t="s">
        <v>76</v>
      </c>
      <c r="E258" s="118" t="s">
        <v>313</v>
      </c>
      <c r="F258" s="118" t="s">
        <v>314</v>
      </c>
      <c r="I258" s="119"/>
      <c r="J258" s="120">
        <f>BK258</f>
        <v>0</v>
      </c>
      <c r="L258" s="116"/>
      <c r="M258" s="121"/>
      <c r="P258" s="122">
        <f>SUM(P259:P261)</f>
        <v>0</v>
      </c>
      <c r="R258" s="122">
        <f>SUM(R259:R261)</f>
        <v>0</v>
      </c>
      <c r="T258" s="123">
        <f>SUM(T259:T261)</f>
        <v>0</v>
      </c>
      <c r="AR258" s="117" t="s">
        <v>185</v>
      </c>
      <c r="AT258" s="124" t="s">
        <v>76</v>
      </c>
      <c r="AU258" s="124" t="s">
        <v>77</v>
      </c>
      <c r="AY258" s="117" t="s">
        <v>177</v>
      </c>
      <c r="BK258" s="125">
        <f>SUM(BK259:BK261)</f>
        <v>0</v>
      </c>
    </row>
    <row r="259" spans="2:65" s="1" customFormat="1" ht="16.5" customHeight="1">
      <c r="B259" s="128"/>
      <c r="C259" s="129" t="s">
        <v>527</v>
      </c>
      <c r="D259" s="129" t="s">
        <v>180</v>
      </c>
      <c r="E259" s="130" t="s">
        <v>528</v>
      </c>
      <c r="F259" s="131" t="s">
        <v>529</v>
      </c>
      <c r="G259" s="132" t="s">
        <v>305</v>
      </c>
      <c r="H259" s="133">
        <v>100</v>
      </c>
      <c r="I259" s="134"/>
      <c r="J259" s="135">
        <f>ROUND(I259*H259,2)</f>
        <v>0</v>
      </c>
      <c r="K259" s="131" t="s">
        <v>184</v>
      </c>
      <c r="L259" s="33"/>
      <c r="M259" s="136" t="s">
        <v>3</v>
      </c>
      <c r="N259" s="137" t="s">
        <v>48</v>
      </c>
      <c r="P259" s="138">
        <f>O259*H259</f>
        <v>0</v>
      </c>
      <c r="Q259" s="138">
        <v>0</v>
      </c>
      <c r="R259" s="138">
        <f>Q259*H259</f>
        <v>0</v>
      </c>
      <c r="S259" s="138">
        <v>0</v>
      </c>
      <c r="T259" s="139">
        <f>S259*H259</f>
        <v>0</v>
      </c>
      <c r="AR259" s="140" t="s">
        <v>318</v>
      </c>
      <c r="AT259" s="140" t="s">
        <v>180</v>
      </c>
      <c r="AU259" s="140" t="s">
        <v>85</v>
      </c>
      <c r="AY259" s="18" t="s">
        <v>177</v>
      </c>
      <c r="BE259" s="141">
        <f>IF(N259="základní",J259,0)</f>
        <v>0</v>
      </c>
      <c r="BF259" s="141">
        <f>IF(N259="snížená",J259,0)</f>
        <v>0</v>
      </c>
      <c r="BG259" s="141">
        <f>IF(N259="zákl. přenesená",J259,0)</f>
        <v>0</v>
      </c>
      <c r="BH259" s="141">
        <f>IF(N259="sníž. přenesená",J259,0)</f>
        <v>0</v>
      </c>
      <c r="BI259" s="141">
        <f>IF(N259="nulová",J259,0)</f>
        <v>0</v>
      </c>
      <c r="BJ259" s="18" t="s">
        <v>85</v>
      </c>
      <c r="BK259" s="141">
        <f>ROUND(I259*H259,2)</f>
        <v>0</v>
      </c>
      <c r="BL259" s="18" t="s">
        <v>318</v>
      </c>
      <c r="BM259" s="140" t="s">
        <v>530</v>
      </c>
    </row>
    <row r="260" spans="2:47" s="1" customFormat="1" ht="19.5">
      <c r="B260" s="33"/>
      <c r="D260" s="142" t="s">
        <v>187</v>
      </c>
      <c r="F260" s="143" t="s">
        <v>531</v>
      </c>
      <c r="I260" s="144"/>
      <c r="L260" s="33"/>
      <c r="M260" s="145"/>
      <c r="T260" s="54"/>
      <c r="AT260" s="18" t="s">
        <v>187</v>
      </c>
      <c r="AU260" s="18" t="s">
        <v>85</v>
      </c>
    </row>
    <row r="261" spans="2:47" s="1" customFormat="1" ht="11.25">
      <c r="B261" s="33"/>
      <c r="D261" s="146" t="s">
        <v>189</v>
      </c>
      <c r="F261" s="147" t="s">
        <v>532</v>
      </c>
      <c r="I261" s="144"/>
      <c r="L261" s="33"/>
      <c r="M261" s="145"/>
      <c r="T261" s="54"/>
      <c r="AT261" s="18" t="s">
        <v>189</v>
      </c>
      <c r="AU261" s="18" t="s">
        <v>85</v>
      </c>
    </row>
    <row r="262" spans="2:63" s="11" customFormat="1" ht="25.9" customHeight="1">
      <c r="B262" s="116"/>
      <c r="D262" s="117" t="s">
        <v>76</v>
      </c>
      <c r="E262" s="118" t="s">
        <v>533</v>
      </c>
      <c r="F262" s="118" t="s">
        <v>534</v>
      </c>
      <c r="I262" s="119"/>
      <c r="J262" s="120">
        <f>BK262</f>
        <v>0</v>
      </c>
      <c r="L262" s="116"/>
      <c r="M262" s="121"/>
      <c r="P262" s="122">
        <f>P263</f>
        <v>0</v>
      </c>
      <c r="R262" s="122">
        <f>R263</f>
        <v>0</v>
      </c>
      <c r="T262" s="123">
        <f>T263</f>
        <v>0</v>
      </c>
      <c r="AR262" s="117" t="s">
        <v>200</v>
      </c>
      <c r="AT262" s="124" t="s">
        <v>76</v>
      </c>
      <c r="AU262" s="124" t="s">
        <v>77</v>
      </c>
      <c r="AY262" s="117" t="s">
        <v>177</v>
      </c>
      <c r="BK262" s="125">
        <f>BK263</f>
        <v>0</v>
      </c>
    </row>
    <row r="263" spans="2:63" s="11" customFormat="1" ht="22.9" customHeight="1">
      <c r="B263" s="116"/>
      <c r="D263" s="117" t="s">
        <v>76</v>
      </c>
      <c r="E263" s="126" t="s">
        <v>535</v>
      </c>
      <c r="F263" s="126" t="s">
        <v>536</v>
      </c>
      <c r="I263" s="119"/>
      <c r="J263" s="127">
        <f>BK263</f>
        <v>0</v>
      </c>
      <c r="L263" s="116"/>
      <c r="M263" s="121"/>
      <c r="P263" s="122">
        <f>SUM(P264:P266)</f>
        <v>0</v>
      </c>
      <c r="R263" s="122">
        <f>SUM(R264:R266)</f>
        <v>0</v>
      </c>
      <c r="T263" s="123">
        <f>SUM(T264:T266)</f>
        <v>0</v>
      </c>
      <c r="AR263" s="117" t="s">
        <v>200</v>
      </c>
      <c r="AT263" s="124" t="s">
        <v>76</v>
      </c>
      <c r="AU263" s="124" t="s">
        <v>85</v>
      </c>
      <c r="AY263" s="117" t="s">
        <v>177</v>
      </c>
      <c r="BK263" s="125">
        <f>SUM(BK264:BK266)</f>
        <v>0</v>
      </c>
    </row>
    <row r="264" spans="2:65" s="1" customFormat="1" ht="16.5" customHeight="1">
      <c r="B264" s="128"/>
      <c r="C264" s="129" t="s">
        <v>537</v>
      </c>
      <c r="D264" s="129" t="s">
        <v>180</v>
      </c>
      <c r="E264" s="130" t="s">
        <v>538</v>
      </c>
      <c r="F264" s="131" t="s">
        <v>539</v>
      </c>
      <c r="G264" s="132" t="s">
        <v>305</v>
      </c>
      <c r="H264" s="133">
        <v>6</v>
      </c>
      <c r="I264" s="134"/>
      <c r="J264" s="135">
        <f>ROUND(I264*H264,2)</f>
        <v>0</v>
      </c>
      <c r="K264" s="131" t="s">
        <v>184</v>
      </c>
      <c r="L264" s="33"/>
      <c r="M264" s="136" t="s">
        <v>3</v>
      </c>
      <c r="N264" s="137" t="s">
        <v>48</v>
      </c>
      <c r="P264" s="138">
        <f>O264*H264</f>
        <v>0</v>
      </c>
      <c r="Q264" s="138">
        <v>0</v>
      </c>
      <c r="R264" s="138">
        <f>Q264*H264</f>
        <v>0</v>
      </c>
      <c r="S264" s="138">
        <v>0</v>
      </c>
      <c r="T264" s="139">
        <f>S264*H264</f>
        <v>0</v>
      </c>
      <c r="AR264" s="140" t="s">
        <v>540</v>
      </c>
      <c r="AT264" s="140" t="s">
        <v>180</v>
      </c>
      <c r="AU264" s="140" t="s">
        <v>87</v>
      </c>
      <c r="AY264" s="18" t="s">
        <v>177</v>
      </c>
      <c r="BE264" s="141">
        <f>IF(N264="základní",J264,0)</f>
        <v>0</v>
      </c>
      <c r="BF264" s="141">
        <f>IF(N264="snížená",J264,0)</f>
        <v>0</v>
      </c>
      <c r="BG264" s="141">
        <f>IF(N264="zákl. přenesená",J264,0)</f>
        <v>0</v>
      </c>
      <c r="BH264" s="141">
        <f>IF(N264="sníž. přenesená",J264,0)</f>
        <v>0</v>
      </c>
      <c r="BI264" s="141">
        <f>IF(N264="nulová",J264,0)</f>
        <v>0</v>
      </c>
      <c r="BJ264" s="18" t="s">
        <v>85</v>
      </c>
      <c r="BK264" s="141">
        <f>ROUND(I264*H264,2)</f>
        <v>0</v>
      </c>
      <c r="BL264" s="18" t="s">
        <v>540</v>
      </c>
      <c r="BM264" s="140" t="s">
        <v>541</v>
      </c>
    </row>
    <row r="265" spans="2:47" s="1" customFormat="1" ht="11.25">
      <c r="B265" s="33"/>
      <c r="D265" s="142" t="s">
        <v>187</v>
      </c>
      <c r="F265" s="143" t="s">
        <v>539</v>
      </c>
      <c r="I265" s="144"/>
      <c r="L265" s="33"/>
      <c r="M265" s="145"/>
      <c r="T265" s="54"/>
      <c r="AT265" s="18" t="s">
        <v>187</v>
      </c>
      <c r="AU265" s="18" t="s">
        <v>87</v>
      </c>
    </row>
    <row r="266" spans="2:47" s="1" customFormat="1" ht="11.25">
      <c r="B266" s="33"/>
      <c r="D266" s="146" t="s">
        <v>189</v>
      </c>
      <c r="F266" s="147" t="s">
        <v>542</v>
      </c>
      <c r="I266" s="144"/>
      <c r="L266" s="33"/>
      <c r="M266" s="189"/>
      <c r="N266" s="190"/>
      <c r="O266" s="190"/>
      <c r="P266" s="190"/>
      <c r="Q266" s="190"/>
      <c r="R266" s="190"/>
      <c r="S266" s="190"/>
      <c r="T266" s="191"/>
      <c r="AT266" s="18" t="s">
        <v>189</v>
      </c>
      <c r="AU266" s="18" t="s">
        <v>87</v>
      </c>
    </row>
    <row r="267" spans="2:12" s="1" customFormat="1" ht="6.95" customHeight="1">
      <c r="B267" s="42"/>
      <c r="C267" s="43"/>
      <c r="D267" s="43"/>
      <c r="E267" s="43"/>
      <c r="F267" s="43"/>
      <c r="G267" s="43"/>
      <c r="H267" s="43"/>
      <c r="I267" s="43"/>
      <c r="J267" s="43"/>
      <c r="K267" s="43"/>
      <c r="L267" s="33"/>
    </row>
  </sheetData>
  <autoFilter ref="C85:K266"/>
  <mergeCells count="9">
    <mergeCell ref="E50:H50"/>
    <mergeCell ref="E76:H76"/>
    <mergeCell ref="E78:H78"/>
    <mergeCell ref="L2:V2"/>
    <mergeCell ref="E7:H7"/>
    <mergeCell ref="E9:H9"/>
    <mergeCell ref="E18:H18"/>
    <mergeCell ref="E27:H27"/>
    <mergeCell ref="E48:H48"/>
  </mergeCells>
  <hyperlinks>
    <hyperlink ref="F91" r:id="rId1" display="https://podminky.urs.cz/item/CS_URS_2022_02/949101112"/>
    <hyperlink ref="F98" r:id="rId2" display="https://podminky.urs.cz/item/CS_URS_2022_02/952901111"/>
    <hyperlink ref="F102" r:id="rId3" display="https://podminky.urs.cz/item/CS_URS_2022_02/985112112"/>
    <hyperlink ref="F107" r:id="rId4" display="https://podminky.urs.cz/item/CS_URS_2022_02/985112113"/>
    <hyperlink ref="F111" r:id="rId5" display="https://podminky.urs.cz/item/CS_URS_2022_02/985112122"/>
    <hyperlink ref="F115" r:id="rId6" display="https://podminky.urs.cz/item/CS_URS_2022_02/985112123"/>
    <hyperlink ref="F119" r:id="rId7" display="https://podminky.urs.cz/item/CS_URS_2022_02/985121122"/>
    <hyperlink ref="F123" r:id="rId8" display="https://podminky.urs.cz/item/CS_URS_2022_02/985121222"/>
    <hyperlink ref="F127" r:id="rId9" display="https://podminky.urs.cz/item/CS_URS_2022_02/985131311"/>
    <hyperlink ref="F132" r:id="rId10" display="https://podminky.urs.cz/item/CS_URS_2022_02/985132311"/>
    <hyperlink ref="F137" r:id="rId11" display="https://podminky.urs.cz/item/CS_URS_2022_02/985311112"/>
    <hyperlink ref="F152" r:id="rId12" display="https://podminky.urs.cz/item/CS_URS_2022_02/985311114"/>
    <hyperlink ref="F167" r:id="rId13" display="https://podminky.urs.cz/item/CS_URS_2022_02/985311212"/>
    <hyperlink ref="F176" r:id="rId14" display="https://podminky.urs.cz/item/CS_URS_2022_02/985311214"/>
    <hyperlink ref="F185" r:id="rId15" display="https://podminky.urs.cz/item/CS_URS_2022_02/985311913"/>
    <hyperlink ref="F191" r:id="rId16" display="https://podminky.urs.cz/item/CS_URS_2022_02/985312111"/>
    <hyperlink ref="F195" r:id="rId17" display="https://podminky.urs.cz/item/CS_URS_2022_02/985312121"/>
    <hyperlink ref="F199" r:id="rId18" display="https://podminky.urs.cz/item/CS_URS_2022_02/985321111"/>
    <hyperlink ref="F204" r:id="rId19" display="https://podminky.urs.cz/item/CS_URS_2022_02/985323111"/>
    <hyperlink ref="F210" r:id="rId20" display="https://podminky.urs.cz/item/CS_URS_2022_02/985324211"/>
    <hyperlink ref="F214" r:id="rId21" display="https://podminky.urs.cz/item/CS_URS_2022_02/985331213"/>
    <hyperlink ref="F223" r:id="rId22" display="https://podminky.urs.cz/item/CS_URS_2022_02/985331217"/>
    <hyperlink ref="F233" r:id="rId23" display="https://podminky.urs.cz/item/CS_URS_2022_02/997013213"/>
    <hyperlink ref="F237" r:id="rId24" display="https://podminky.urs.cz/item/CS_URS_2022_02/997013219"/>
    <hyperlink ref="F242" r:id="rId25" display="https://podminky.urs.cz/item/CS_URS_2022_02/997013501"/>
    <hyperlink ref="F246" r:id="rId26" display="https://podminky.urs.cz/item/CS_URS_2022_02/997013509"/>
    <hyperlink ref="F251" r:id="rId27" display="https://podminky.urs.cz/item/CS_URS_2022_02/997013861"/>
    <hyperlink ref="F256" r:id="rId28" display="https://podminky.urs.cz/item/CS_URS_2022_02/998018002"/>
    <hyperlink ref="F261" r:id="rId29" display="https://podminky.urs.cz/item/CS_URS_2022_02/HZS1292"/>
    <hyperlink ref="F266" r:id="rId30" display="https://podminky.urs.cz/item/CS_URS_2022_02/01151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0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93</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543</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ROUND(J89,2)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ROUND((SUM(BE89:BE300)),2)</f>
        <v>0</v>
      </c>
      <c r="I33" s="90">
        <v>0.21</v>
      </c>
      <c r="J33" s="89">
        <f>ROUND(((SUM(BE89:BE300))*I33),2)</f>
        <v>0</v>
      </c>
      <c r="L33" s="33"/>
    </row>
    <row r="34" spans="2:12" s="1" customFormat="1" ht="14.45" customHeight="1">
      <c r="B34" s="33"/>
      <c r="E34" s="28" t="s">
        <v>49</v>
      </c>
      <c r="F34" s="89">
        <f>ROUND((SUM(BF89:BF300)),2)</f>
        <v>0</v>
      </c>
      <c r="I34" s="90">
        <v>0.15</v>
      </c>
      <c r="J34" s="89">
        <f>ROUND(((SUM(BF89:BF300))*I34),2)</f>
        <v>0</v>
      </c>
      <c r="L34" s="33"/>
    </row>
    <row r="35" spans="2:12" s="1" customFormat="1" ht="14.45" customHeight="1" hidden="1">
      <c r="B35" s="33"/>
      <c r="E35" s="28" t="s">
        <v>50</v>
      </c>
      <c r="F35" s="89">
        <f>ROUND((SUM(BG89:BG300)),2)</f>
        <v>0</v>
      </c>
      <c r="I35" s="90">
        <v>0.21</v>
      </c>
      <c r="J35" s="89">
        <f>0</f>
        <v>0</v>
      </c>
      <c r="L35" s="33"/>
    </row>
    <row r="36" spans="2:12" s="1" customFormat="1" ht="14.45" customHeight="1" hidden="1">
      <c r="B36" s="33"/>
      <c r="E36" s="28" t="s">
        <v>51</v>
      </c>
      <c r="F36" s="89">
        <f>ROUND((SUM(BH89:BH300)),2)</f>
        <v>0</v>
      </c>
      <c r="I36" s="90">
        <v>0.15</v>
      </c>
      <c r="J36" s="89">
        <f>0</f>
        <v>0</v>
      </c>
      <c r="L36" s="33"/>
    </row>
    <row r="37" spans="2:12" s="1" customFormat="1" ht="14.45" customHeight="1" hidden="1">
      <c r="B37" s="33"/>
      <c r="E37" s="28" t="s">
        <v>52</v>
      </c>
      <c r="F37" s="89">
        <f>ROUND((SUM(BI89:BI300)),2)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3 - Vyzdění severního průčelí</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J89</f>
        <v>0</v>
      </c>
      <c r="L59" s="33"/>
      <c r="AU59" s="18" t="s">
        <v>152</v>
      </c>
    </row>
    <row r="60" spans="2:12" s="8" customFormat="1" ht="24.95" customHeight="1">
      <c r="B60" s="100"/>
      <c r="D60" s="101" t="s">
        <v>153</v>
      </c>
      <c r="E60" s="102"/>
      <c r="F60" s="102"/>
      <c r="G60" s="102"/>
      <c r="H60" s="102"/>
      <c r="I60" s="102"/>
      <c r="J60" s="103">
        <f>J90</f>
        <v>0</v>
      </c>
      <c r="L60" s="100"/>
    </row>
    <row r="61" spans="2:12" s="9" customFormat="1" ht="19.9" customHeight="1">
      <c r="B61" s="104"/>
      <c r="D61" s="105" t="s">
        <v>544</v>
      </c>
      <c r="E61" s="106"/>
      <c r="F61" s="106"/>
      <c r="G61" s="106"/>
      <c r="H61" s="106"/>
      <c r="I61" s="106"/>
      <c r="J61" s="107">
        <f>J91</f>
        <v>0</v>
      </c>
      <c r="L61" s="104"/>
    </row>
    <row r="62" spans="2:12" s="9" customFormat="1" ht="19.9" customHeight="1">
      <c r="B62" s="104"/>
      <c r="D62" s="105" t="s">
        <v>545</v>
      </c>
      <c r="E62" s="106"/>
      <c r="F62" s="106"/>
      <c r="G62" s="106"/>
      <c r="H62" s="106"/>
      <c r="I62" s="106"/>
      <c r="J62" s="107">
        <f>J100</f>
        <v>0</v>
      </c>
      <c r="L62" s="104"/>
    </row>
    <row r="63" spans="2:12" s="9" customFormat="1" ht="19.9" customHeight="1">
      <c r="B63" s="104"/>
      <c r="D63" s="105" t="s">
        <v>546</v>
      </c>
      <c r="E63" s="106"/>
      <c r="F63" s="106"/>
      <c r="G63" s="106"/>
      <c r="H63" s="106"/>
      <c r="I63" s="106"/>
      <c r="J63" s="107">
        <f>J157</f>
        <v>0</v>
      </c>
      <c r="L63" s="104"/>
    </row>
    <row r="64" spans="2:12" s="9" customFormat="1" ht="19.9" customHeight="1">
      <c r="B64" s="104"/>
      <c r="D64" s="105" t="s">
        <v>325</v>
      </c>
      <c r="E64" s="106"/>
      <c r="F64" s="106"/>
      <c r="G64" s="106"/>
      <c r="H64" s="106"/>
      <c r="I64" s="106"/>
      <c r="J64" s="107">
        <f>J173</f>
        <v>0</v>
      </c>
      <c r="L64" s="104"/>
    </row>
    <row r="65" spans="2:12" s="9" customFormat="1" ht="19.9" customHeight="1">
      <c r="B65" s="104"/>
      <c r="D65" s="105" t="s">
        <v>326</v>
      </c>
      <c r="E65" s="106"/>
      <c r="F65" s="106"/>
      <c r="G65" s="106"/>
      <c r="H65" s="106"/>
      <c r="I65" s="106"/>
      <c r="J65" s="107">
        <f>J226</f>
        <v>0</v>
      </c>
      <c r="L65" s="104"/>
    </row>
    <row r="66" spans="2:12" s="8" customFormat="1" ht="24.95" customHeight="1">
      <c r="B66" s="100"/>
      <c r="D66" s="101" t="s">
        <v>155</v>
      </c>
      <c r="E66" s="102"/>
      <c r="F66" s="102"/>
      <c r="G66" s="102"/>
      <c r="H66" s="102"/>
      <c r="I66" s="102"/>
      <c r="J66" s="103">
        <f>J231</f>
        <v>0</v>
      </c>
      <c r="L66" s="100"/>
    </row>
    <row r="67" spans="2:12" s="9" customFormat="1" ht="19.9" customHeight="1">
      <c r="B67" s="104"/>
      <c r="D67" s="105" t="s">
        <v>547</v>
      </c>
      <c r="E67" s="106"/>
      <c r="F67" s="106"/>
      <c r="G67" s="106"/>
      <c r="H67" s="106"/>
      <c r="I67" s="106"/>
      <c r="J67" s="107">
        <f>J232</f>
        <v>0</v>
      </c>
      <c r="L67" s="104"/>
    </row>
    <row r="68" spans="2:12" s="9" customFormat="1" ht="19.9" customHeight="1">
      <c r="B68" s="104"/>
      <c r="D68" s="105" t="s">
        <v>548</v>
      </c>
      <c r="E68" s="106"/>
      <c r="F68" s="106"/>
      <c r="G68" s="106"/>
      <c r="H68" s="106"/>
      <c r="I68" s="106"/>
      <c r="J68" s="107">
        <f>J279</f>
        <v>0</v>
      </c>
      <c r="L68" s="104"/>
    </row>
    <row r="69" spans="2:12" s="8" customFormat="1" ht="24.95" customHeight="1">
      <c r="B69" s="100"/>
      <c r="D69" s="101" t="s">
        <v>161</v>
      </c>
      <c r="E69" s="102"/>
      <c r="F69" s="102"/>
      <c r="G69" s="102"/>
      <c r="H69" s="102"/>
      <c r="I69" s="102"/>
      <c r="J69" s="103">
        <f>J297</f>
        <v>0</v>
      </c>
      <c r="L69" s="100"/>
    </row>
    <row r="70" spans="2:12" s="1" customFormat="1" ht="21.75" customHeight="1">
      <c r="B70" s="33"/>
      <c r="L70" s="33"/>
    </row>
    <row r="71" spans="2:12" s="1" customFormat="1" ht="6.95" customHeight="1">
      <c r="B71" s="42"/>
      <c r="C71" s="43"/>
      <c r="D71" s="43"/>
      <c r="E71" s="43"/>
      <c r="F71" s="43"/>
      <c r="G71" s="43"/>
      <c r="H71" s="43"/>
      <c r="I71" s="43"/>
      <c r="J71" s="43"/>
      <c r="K71" s="43"/>
      <c r="L71" s="33"/>
    </row>
    <row r="75" spans="2:12" s="1" customFormat="1" ht="6.95" customHeight="1">
      <c r="B75" s="44"/>
      <c r="C75" s="45"/>
      <c r="D75" s="45"/>
      <c r="E75" s="45"/>
      <c r="F75" s="45"/>
      <c r="G75" s="45"/>
      <c r="H75" s="45"/>
      <c r="I75" s="45"/>
      <c r="J75" s="45"/>
      <c r="K75" s="45"/>
      <c r="L75" s="33"/>
    </row>
    <row r="76" spans="2:12" s="1" customFormat="1" ht="24.95" customHeight="1">
      <c r="B76" s="33"/>
      <c r="C76" s="22" t="s">
        <v>162</v>
      </c>
      <c r="L76" s="33"/>
    </row>
    <row r="77" spans="2:12" s="1" customFormat="1" ht="6.95" customHeight="1">
      <c r="B77" s="33"/>
      <c r="L77" s="33"/>
    </row>
    <row r="78" spans="2:12" s="1" customFormat="1" ht="12" customHeight="1">
      <c r="B78" s="33"/>
      <c r="C78" s="28" t="s">
        <v>17</v>
      </c>
      <c r="L78" s="33"/>
    </row>
    <row r="79" spans="2:12" s="1" customFormat="1" ht="16.5" customHeight="1">
      <c r="B79" s="33"/>
      <c r="E79" s="315" t="str">
        <f>E7</f>
        <v>ZŠ P. HOLÉHO - PŘESTAVBA PLAVECKÉHO PAVILONU</v>
      </c>
      <c r="F79" s="316"/>
      <c r="G79" s="316"/>
      <c r="H79" s="316"/>
      <c r="L79" s="33"/>
    </row>
    <row r="80" spans="2:12" s="1" customFormat="1" ht="12" customHeight="1">
      <c r="B80" s="33"/>
      <c r="C80" s="28" t="s">
        <v>146</v>
      </c>
      <c r="L80" s="33"/>
    </row>
    <row r="81" spans="2:12" s="1" customFormat="1" ht="16.5" customHeight="1">
      <c r="B81" s="33"/>
      <c r="E81" s="281" t="str">
        <f>E9</f>
        <v>E 3 - Vyzdění severního průčelí</v>
      </c>
      <c r="F81" s="317"/>
      <c r="G81" s="317"/>
      <c r="H81" s="317"/>
      <c r="L81" s="33"/>
    </row>
    <row r="82" spans="2:12" s="1" customFormat="1" ht="6.95" customHeight="1">
      <c r="B82" s="33"/>
      <c r="L82" s="33"/>
    </row>
    <row r="83" spans="2:12" s="1" customFormat="1" ht="12" customHeight="1">
      <c r="B83" s="33"/>
      <c r="C83" s="28" t="s">
        <v>21</v>
      </c>
      <c r="F83" s="26" t="str">
        <f>F12</f>
        <v>Prokopa Holého 2632, Louny, 440 01</v>
      </c>
      <c r="I83" s="28" t="s">
        <v>23</v>
      </c>
      <c r="J83" s="50" t="str">
        <f>IF(J12="","",J12)</f>
        <v>21. 9. 2022</v>
      </c>
      <c r="L83" s="33"/>
    </row>
    <row r="84" spans="2:12" s="1" customFormat="1" ht="6.95" customHeight="1">
      <c r="B84" s="33"/>
      <c r="L84" s="33"/>
    </row>
    <row r="85" spans="2:12" s="1" customFormat="1" ht="15.2" customHeight="1">
      <c r="B85" s="33"/>
      <c r="C85" s="28" t="s">
        <v>25</v>
      </c>
      <c r="F85" s="26" t="str">
        <f>E15</f>
        <v>Město Louny</v>
      </c>
      <c r="I85" s="28" t="s">
        <v>32</v>
      </c>
      <c r="J85" s="31" t="str">
        <f>E21</f>
        <v>RYSIK Design s.r.o.</v>
      </c>
      <c r="L85" s="33"/>
    </row>
    <row r="86" spans="2:12" s="1" customFormat="1" ht="25.7" customHeight="1">
      <c r="B86" s="33"/>
      <c r="C86" s="28" t="s">
        <v>30</v>
      </c>
      <c r="F86" s="26" t="str">
        <f>IF(E18="","",E18)</f>
        <v>Vyplň údaj</v>
      </c>
      <c r="I86" s="28" t="s">
        <v>37</v>
      </c>
      <c r="J86" s="31" t="str">
        <f>E24</f>
        <v>ing. Kateřina Tumpachová</v>
      </c>
      <c r="L86" s="33"/>
    </row>
    <row r="87" spans="2:12" s="1" customFormat="1" ht="10.35" customHeight="1">
      <c r="B87" s="33"/>
      <c r="L87" s="33"/>
    </row>
    <row r="88" spans="2:20" s="10" customFormat="1" ht="29.25" customHeight="1">
      <c r="B88" s="108"/>
      <c r="C88" s="109" t="s">
        <v>163</v>
      </c>
      <c r="D88" s="110" t="s">
        <v>62</v>
      </c>
      <c r="E88" s="110" t="s">
        <v>58</v>
      </c>
      <c r="F88" s="110" t="s">
        <v>59</v>
      </c>
      <c r="G88" s="110" t="s">
        <v>164</v>
      </c>
      <c r="H88" s="110" t="s">
        <v>165</v>
      </c>
      <c r="I88" s="110" t="s">
        <v>166</v>
      </c>
      <c r="J88" s="110" t="s">
        <v>151</v>
      </c>
      <c r="K88" s="111" t="s">
        <v>167</v>
      </c>
      <c r="L88" s="108"/>
      <c r="M88" s="57" t="s">
        <v>3</v>
      </c>
      <c r="N88" s="58" t="s">
        <v>47</v>
      </c>
      <c r="O88" s="58" t="s">
        <v>168</v>
      </c>
      <c r="P88" s="58" t="s">
        <v>169</v>
      </c>
      <c r="Q88" s="58" t="s">
        <v>170</v>
      </c>
      <c r="R88" s="58" t="s">
        <v>171</v>
      </c>
      <c r="S88" s="58" t="s">
        <v>172</v>
      </c>
      <c r="T88" s="59" t="s">
        <v>173</v>
      </c>
    </row>
    <row r="89" spans="2:63" s="1" customFormat="1" ht="22.9" customHeight="1">
      <c r="B89" s="33"/>
      <c r="C89" s="62" t="s">
        <v>174</v>
      </c>
      <c r="J89" s="112">
        <f>BK89</f>
        <v>0</v>
      </c>
      <c r="L89" s="33"/>
      <c r="M89" s="60"/>
      <c r="N89" s="51"/>
      <c r="O89" s="51"/>
      <c r="P89" s="113">
        <f>P90+P231+P297</f>
        <v>0</v>
      </c>
      <c r="Q89" s="51"/>
      <c r="R89" s="113">
        <f>R90+R231+R297</f>
        <v>65.0219850298</v>
      </c>
      <c r="S89" s="51"/>
      <c r="T89" s="114">
        <f>T90+T231+T297</f>
        <v>0</v>
      </c>
      <c r="AT89" s="18" t="s">
        <v>76</v>
      </c>
      <c r="AU89" s="18" t="s">
        <v>152</v>
      </c>
      <c r="BK89" s="115">
        <f>BK90+BK231+BK297</f>
        <v>0</v>
      </c>
    </row>
    <row r="90" spans="2:63" s="11" customFormat="1" ht="25.9" customHeight="1">
      <c r="B90" s="116"/>
      <c r="D90" s="117" t="s">
        <v>76</v>
      </c>
      <c r="E90" s="118" t="s">
        <v>175</v>
      </c>
      <c r="F90" s="118" t="s">
        <v>176</v>
      </c>
      <c r="I90" s="119"/>
      <c r="J90" s="120">
        <f>BK90</f>
        <v>0</v>
      </c>
      <c r="L90" s="116"/>
      <c r="M90" s="121"/>
      <c r="P90" s="122">
        <f>P91+P100+P157+P173+P226</f>
        <v>0</v>
      </c>
      <c r="R90" s="122">
        <f>R91+R100+R157+R173+R226</f>
        <v>63.46807437480001</v>
      </c>
      <c r="T90" s="123">
        <f>T91+T100+T157+T173+T226</f>
        <v>0</v>
      </c>
      <c r="AR90" s="117" t="s">
        <v>85</v>
      </c>
      <c r="AT90" s="124" t="s">
        <v>76</v>
      </c>
      <c r="AU90" s="124" t="s">
        <v>77</v>
      </c>
      <c r="AY90" s="117" t="s">
        <v>177</v>
      </c>
      <c r="BK90" s="125">
        <f>BK91+BK100+BK157+BK173+BK226</f>
        <v>0</v>
      </c>
    </row>
    <row r="91" spans="2:63" s="11" customFormat="1" ht="22.9" customHeight="1">
      <c r="B91" s="116"/>
      <c r="D91" s="117" t="s">
        <v>76</v>
      </c>
      <c r="E91" s="126" t="s">
        <v>87</v>
      </c>
      <c r="F91" s="126" t="s">
        <v>549</v>
      </c>
      <c r="I91" s="119"/>
      <c r="J91" s="127">
        <f>BK91</f>
        <v>0</v>
      </c>
      <c r="L91" s="116"/>
      <c r="M91" s="121"/>
      <c r="P91" s="122">
        <f>SUM(P92:P99)</f>
        <v>0</v>
      </c>
      <c r="R91" s="122">
        <f>SUM(R92:R99)</f>
        <v>6.02595189</v>
      </c>
      <c r="T91" s="123">
        <f>SUM(T92:T99)</f>
        <v>0</v>
      </c>
      <c r="AR91" s="117" t="s">
        <v>85</v>
      </c>
      <c r="AT91" s="124" t="s">
        <v>76</v>
      </c>
      <c r="AU91" s="124" t="s">
        <v>85</v>
      </c>
      <c r="AY91" s="117" t="s">
        <v>177</v>
      </c>
      <c r="BK91" s="125">
        <f>SUM(BK92:BK99)</f>
        <v>0</v>
      </c>
    </row>
    <row r="92" spans="2:65" s="1" customFormat="1" ht="33" customHeight="1">
      <c r="B92" s="128"/>
      <c r="C92" s="129" t="s">
        <v>85</v>
      </c>
      <c r="D92" s="129" t="s">
        <v>180</v>
      </c>
      <c r="E92" s="130" t="s">
        <v>550</v>
      </c>
      <c r="F92" s="131" t="s">
        <v>551</v>
      </c>
      <c r="G92" s="132" t="s">
        <v>332</v>
      </c>
      <c r="H92" s="133">
        <v>6.3</v>
      </c>
      <c r="I92" s="134"/>
      <c r="J92" s="135">
        <f>ROUND(I92*H92,2)</f>
        <v>0</v>
      </c>
      <c r="K92" s="131" t="s">
        <v>184</v>
      </c>
      <c r="L92" s="33"/>
      <c r="M92" s="136" t="s">
        <v>3</v>
      </c>
      <c r="N92" s="137" t="s">
        <v>48</v>
      </c>
      <c r="P92" s="138">
        <f>O92*H92</f>
        <v>0</v>
      </c>
      <c r="Q92" s="138">
        <v>0.9565003</v>
      </c>
      <c r="R92" s="138">
        <f>Q92*H92</f>
        <v>6.02595189</v>
      </c>
      <c r="S92" s="138">
        <v>0</v>
      </c>
      <c r="T92" s="139">
        <f>S92*H92</f>
        <v>0</v>
      </c>
      <c r="AR92" s="140" t="s">
        <v>185</v>
      </c>
      <c r="AT92" s="140" t="s">
        <v>180</v>
      </c>
      <c r="AU92" s="140" t="s">
        <v>87</v>
      </c>
      <c r="AY92" s="18" t="s">
        <v>177</v>
      </c>
      <c r="BE92" s="141">
        <f>IF(N92="základní",J92,0)</f>
        <v>0</v>
      </c>
      <c r="BF92" s="141">
        <f>IF(N92="snížená",J92,0)</f>
        <v>0</v>
      </c>
      <c r="BG92" s="141">
        <f>IF(N92="zákl. přenesená",J92,0)</f>
        <v>0</v>
      </c>
      <c r="BH92" s="141">
        <f>IF(N92="sníž. přenesená",J92,0)</f>
        <v>0</v>
      </c>
      <c r="BI92" s="141">
        <f>IF(N92="nulová",J92,0)</f>
        <v>0</v>
      </c>
      <c r="BJ92" s="18" t="s">
        <v>85</v>
      </c>
      <c r="BK92" s="141">
        <f>ROUND(I92*H92,2)</f>
        <v>0</v>
      </c>
      <c r="BL92" s="18" t="s">
        <v>185</v>
      </c>
      <c r="BM92" s="140" t="s">
        <v>552</v>
      </c>
    </row>
    <row r="93" spans="2:47" s="1" customFormat="1" ht="29.25">
      <c r="B93" s="33"/>
      <c r="D93" s="142" t="s">
        <v>187</v>
      </c>
      <c r="F93" s="143" t="s">
        <v>553</v>
      </c>
      <c r="I93" s="144"/>
      <c r="L93" s="33"/>
      <c r="M93" s="145"/>
      <c r="T93" s="54"/>
      <c r="AT93" s="18" t="s">
        <v>187</v>
      </c>
      <c r="AU93" s="18" t="s">
        <v>87</v>
      </c>
    </row>
    <row r="94" spans="2:47" s="1" customFormat="1" ht="11.25">
      <c r="B94" s="33"/>
      <c r="D94" s="146" t="s">
        <v>189</v>
      </c>
      <c r="F94" s="147" t="s">
        <v>554</v>
      </c>
      <c r="I94" s="144"/>
      <c r="L94" s="33"/>
      <c r="M94" s="145"/>
      <c r="T94" s="54"/>
      <c r="AT94" s="18" t="s">
        <v>189</v>
      </c>
      <c r="AU94" s="18" t="s">
        <v>87</v>
      </c>
    </row>
    <row r="95" spans="2:47" s="1" customFormat="1" ht="68.25">
      <c r="B95" s="33"/>
      <c r="D95" s="142" t="s">
        <v>191</v>
      </c>
      <c r="F95" s="148" t="s">
        <v>555</v>
      </c>
      <c r="I95" s="144"/>
      <c r="L95" s="33"/>
      <c r="M95" s="145"/>
      <c r="T95" s="54"/>
      <c r="AT95" s="18" t="s">
        <v>191</v>
      </c>
      <c r="AU95" s="18" t="s">
        <v>87</v>
      </c>
    </row>
    <row r="96" spans="2:51" s="12" customFormat="1" ht="11.25">
      <c r="B96" s="149"/>
      <c r="D96" s="142" t="s">
        <v>193</v>
      </c>
      <c r="E96" s="150" t="s">
        <v>3</v>
      </c>
      <c r="F96" s="151" t="s">
        <v>556</v>
      </c>
      <c r="H96" s="152">
        <v>6</v>
      </c>
      <c r="I96" s="153"/>
      <c r="L96" s="149"/>
      <c r="M96" s="154"/>
      <c r="T96" s="155"/>
      <c r="AT96" s="150" t="s">
        <v>193</v>
      </c>
      <c r="AU96" s="150" t="s">
        <v>87</v>
      </c>
      <c r="AV96" s="12" t="s">
        <v>87</v>
      </c>
      <c r="AW96" s="12" t="s">
        <v>36</v>
      </c>
      <c r="AX96" s="12" t="s">
        <v>77</v>
      </c>
      <c r="AY96" s="150" t="s">
        <v>177</v>
      </c>
    </row>
    <row r="97" spans="2:51" s="13" customFormat="1" ht="11.25">
      <c r="B97" s="156"/>
      <c r="D97" s="142" t="s">
        <v>193</v>
      </c>
      <c r="E97" s="157" t="s">
        <v>3</v>
      </c>
      <c r="F97" s="158" t="s">
        <v>557</v>
      </c>
      <c r="H97" s="157" t="s">
        <v>3</v>
      </c>
      <c r="I97" s="159"/>
      <c r="L97" s="156"/>
      <c r="M97" s="160"/>
      <c r="T97" s="161"/>
      <c r="AT97" s="157" t="s">
        <v>193</v>
      </c>
      <c r="AU97" s="157" t="s">
        <v>87</v>
      </c>
      <c r="AV97" s="13" t="s">
        <v>85</v>
      </c>
      <c r="AW97" s="13" t="s">
        <v>36</v>
      </c>
      <c r="AX97" s="13" t="s">
        <v>77</v>
      </c>
      <c r="AY97" s="157" t="s">
        <v>177</v>
      </c>
    </row>
    <row r="98" spans="2:51" s="12" customFormat="1" ht="11.25">
      <c r="B98" s="149"/>
      <c r="D98" s="142" t="s">
        <v>193</v>
      </c>
      <c r="E98" s="150" t="s">
        <v>3</v>
      </c>
      <c r="F98" s="151" t="s">
        <v>558</v>
      </c>
      <c r="H98" s="152">
        <v>0.3</v>
      </c>
      <c r="I98" s="153"/>
      <c r="L98" s="149"/>
      <c r="M98" s="154"/>
      <c r="T98" s="155"/>
      <c r="AT98" s="150" t="s">
        <v>193</v>
      </c>
      <c r="AU98" s="150" t="s">
        <v>87</v>
      </c>
      <c r="AV98" s="12" t="s">
        <v>87</v>
      </c>
      <c r="AW98" s="12" t="s">
        <v>36</v>
      </c>
      <c r="AX98" s="12" t="s">
        <v>77</v>
      </c>
      <c r="AY98" s="150" t="s">
        <v>177</v>
      </c>
    </row>
    <row r="99" spans="2:51" s="15" customFormat="1" ht="11.25">
      <c r="B99" s="169"/>
      <c r="D99" s="142" t="s">
        <v>193</v>
      </c>
      <c r="E99" s="170" t="s">
        <v>3</v>
      </c>
      <c r="F99" s="171" t="s">
        <v>201</v>
      </c>
      <c r="H99" s="172">
        <v>6.3</v>
      </c>
      <c r="I99" s="173"/>
      <c r="L99" s="169"/>
      <c r="M99" s="174"/>
      <c r="T99" s="175"/>
      <c r="AT99" s="170" t="s">
        <v>193</v>
      </c>
      <c r="AU99" s="170" t="s">
        <v>87</v>
      </c>
      <c r="AV99" s="15" t="s">
        <v>185</v>
      </c>
      <c r="AW99" s="15" t="s">
        <v>36</v>
      </c>
      <c r="AX99" s="15" t="s">
        <v>85</v>
      </c>
      <c r="AY99" s="170" t="s">
        <v>177</v>
      </c>
    </row>
    <row r="100" spans="2:63" s="11" customFormat="1" ht="22.9" customHeight="1">
      <c r="B100" s="116"/>
      <c r="D100" s="117" t="s">
        <v>76</v>
      </c>
      <c r="E100" s="126" t="s">
        <v>198</v>
      </c>
      <c r="F100" s="126" t="s">
        <v>559</v>
      </c>
      <c r="I100" s="119"/>
      <c r="J100" s="127">
        <f>BK100</f>
        <v>0</v>
      </c>
      <c r="L100" s="116"/>
      <c r="M100" s="121"/>
      <c r="P100" s="122">
        <f>SUM(P101:P156)</f>
        <v>0</v>
      </c>
      <c r="R100" s="122">
        <f>SUM(R101:R156)</f>
        <v>53.754462004800004</v>
      </c>
      <c r="T100" s="123">
        <f>SUM(T101:T156)</f>
        <v>0</v>
      </c>
      <c r="AR100" s="117" t="s">
        <v>85</v>
      </c>
      <c r="AT100" s="124" t="s">
        <v>76</v>
      </c>
      <c r="AU100" s="124" t="s">
        <v>85</v>
      </c>
      <c r="AY100" s="117" t="s">
        <v>177</v>
      </c>
      <c r="BK100" s="125">
        <f>SUM(BK101:BK156)</f>
        <v>0</v>
      </c>
    </row>
    <row r="101" spans="2:65" s="1" customFormat="1" ht="24.2" customHeight="1">
      <c r="B101" s="128"/>
      <c r="C101" s="129" t="s">
        <v>87</v>
      </c>
      <c r="D101" s="129" t="s">
        <v>180</v>
      </c>
      <c r="E101" s="130" t="s">
        <v>560</v>
      </c>
      <c r="F101" s="131" t="s">
        <v>561</v>
      </c>
      <c r="G101" s="132" t="s">
        <v>332</v>
      </c>
      <c r="H101" s="133">
        <v>59.8</v>
      </c>
      <c r="I101" s="134"/>
      <c r="J101" s="135">
        <f>ROUND(I101*H101,2)</f>
        <v>0</v>
      </c>
      <c r="K101" s="131" t="s">
        <v>184</v>
      </c>
      <c r="L101" s="33"/>
      <c r="M101" s="136" t="s">
        <v>3</v>
      </c>
      <c r="N101" s="137" t="s">
        <v>48</v>
      </c>
      <c r="P101" s="138">
        <f>O101*H101</f>
        <v>0</v>
      </c>
      <c r="Q101" s="138">
        <v>0.455392</v>
      </c>
      <c r="R101" s="138">
        <f>Q101*H101</f>
        <v>27.2324416</v>
      </c>
      <c r="S101" s="138">
        <v>0</v>
      </c>
      <c r="T101" s="139">
        <f>S101*H101</f>
        <v>0</v>
      </c>
      <c r="AR101" s="140" t="s">
        <v>185</v>
      </c>
      <c r="AT101" s="140" t="s">
        <v>180</v>
      </c>
      <c r="AU101" s="140" t="s">
        <v>87</v>
      </c>
      <c r="AY101" s="18" t="s">
        <v>177</v>
      </c>
      <c r="BE101" s="141">
        <f>IF(N101="základní",J101,0)</f>
        <v>0</v>
      </c>
      <c r="BF101" s="141">
        <f>IF(N101="snížená",J101,0)</f>
        <v>0</v>
      </c>
      <c r="BG101" s="141">
        <f>IF(N101="zákl. přenesená",J101,0)</f>
        <v>0</v>
      </c>
      <c r="BH101" s="141">
        <f>IF(N101="sníž. přenesená",J101,0)</f>
        <v>0</v>
      </c>
      <c r="BI101" s="141">
        <f>IF(N101="nulová",J101,0)</f>
        <v>0</v>
      </c>
      <c r="BJ101" s="18" t="s">
        <v>85</v>
      </c>
      <c r="BK101" s="141">
        <f>ROUND(I101*H101,2)</f>
        <v>0</v>
      </c>
      <c r="BL101" s="18" t="s">
        <v>185</v>
      </c>
      <c r="BM101" s="140" t="s">
        <v>562</v>
      </c>
    </row>
    <row r="102" spans="2:47" s="1" customFormat="1" ht="29.25">
      <c r="B102" s="33"/>
      <c r="D102" s="142" t="s">
        <v>187</v>
      </c>
      <c r="F102" s="143" t="s">
        <v>563</v>
      </c>
      <c r="I102" s="144"/>
      <c r="L102" s="33"/>
      <c r="M102" s="145"/>
      <c r="T102" s="54"/>
      <c r="AT102" s="18" t="s">
        <v>187</v>
      </c>
      <c r="AU102" s="18" t="s">
        <v>87</v>
      </c>
    </row>
    <row r="103" spans="2:47" s="1" customFormat="1" ht="11.25">
      <c r="B103" s="33"/>
      <c r="D103" s="146" t="s">
        <v>189</v>
      </c>
      <c r="F103" s="147" t="s">
        <v>564</v>
      </c>
      <c r="I103" s="144"/>
      <c r="L103" s="33"/>
      <c r="M103" s="145"/>
      <c r="T103" s="54"/>
      <c r="AT103" s="18" t="s">
        <v>189</v>
      </c>
      <c r="AU103" s="18" t="s">
        <v>87</v>
      </c>
    </row>
    <row r="104" spans="2:51" s="12" customFormat="1" ht="11.25">
      <c r="B104" s="149"/>
      <c r="D104" s="142" t="s">
        <v>193</v>
      </c>
      <c r="E104" s="150" t="s">
        <v>3</v>
      </c>
      <c r="F104" s="151" t="s">
        <v>565</v>
      </c>
      <c r="H104" s="152">
        <v>55.2</v>
      </c>
      <c r="I104" s="153"/>
      <c r="L104" s="149"/>
      <c r="M104" s="154"/>
      <c r="T104" s="155"/>
      <c r="AT104" s="150" t="s">
        <v>193</v>
      </c>
      <c r="AU104" s="150" t="s">
        <v>87</v>
      </c>
      <c r="AV104" s="12" t="s">
        <v>87</v>
      </c>
      <c r="AW104" s="12" t="s">
        <v>36</v>
      </c>
      <c r="AX104" s="12" t="s">
        <v>77</v>
      </c>
      <c r="AY104" s="150" t="s">
        <v>177</v>
      </c>
    </row>
    <row r="105" spans="2:51" s="13" customFormat="1" ht="11.25">
      <c r="B105" s="156"/>
      <c r="D105" s="142" t="s">
        <v>193</v>
      </c>
      <c r="E105" s="157" t="s">
        <v>3</v>
      </c>
      <c r="F105" s="158" t="s">
        <v>566</v>
      </c>
      <c r="H105" s="157" t="s">
        <v>3</v>
      </c>
      <c r="I105" s="159"/>
      <c r="L105" s="156"/>
      <c r="M105" s="160"/>
      <c r="T105" s="161"/>
      <c r="AT105" s="157" t="s">
        <v>193</v>
      </c>
      <c r="AU105" s="157" t="s">
        <v>87</v>
      </c>
      <c r="AV105" s="13" t="s">
        <v>85</v>
      </c>
      <c r="AW105" s="13" t="s">
        <v>36</v>
      </c>
      <c r="AX105" s="13" t="s">
        <v>77</v>
      </c>
      <c r="AY105" s="157" t="s">
        <v>177</v>
      </c>
    </row>
    <row r="106" spans="2:51" s="12" customFormat="1" ht="11.25">
      <c r="B106" s="149"/>
      <c r="D106" s="142" t="s">
        <v>193</v>
      </c>
      <c r="E106" s="150" t="s">
        <v>3</v>
      </c>
      <c r="F106" s="151" t="s">
        <v>567</v>
      </c>
      <c r="H106" s="152">
        <v>4.6</v>
      </c>
      <c r="I106" s="153"/>
      <c r="L106" s="149"/>
      <c r="M106" s="154"/>
      <c r="T106" s="155"/>
      <c r="AT106" s="150" t="s">
        <v>193</v>
      </c>
      <c r="AU106" s="150" t="s">
        <v>87</v>
      </c>
      <c r="AV106" s="12" t="s">
        <v>87</v>
      </c>
      <c r="AW106" s="12" t="s">
        <v>36</v>
      </c>
      <c r="AX106" s="12" t="s">
        <v>77</v>
      </c>
      <c r="AY106" s="150" t="s">
        <v>177</v>
      </c>
    </row>
    <row r="107" spans="2:51" s="15" customFormat="1" ht="11.25">
      <c r="B107" s="169"/>
      <c r="D107" s="142" t="s">
        <v>193</v>
      </c>
      <c r="E107" s="170" t="s">
        <v>3</v>
      </c>
      <c r="F107" s="171" t="s">
        <v>201</v>
      </c>
      <c r="H107" s="172">
        <v>59.800000000000004</v>
      </c>
      <c r="I107" s="173"/>
      <c r="L107" s="169"/>
      <c r="M107" s="174"/>
      <c r="T107" s="175"/>
      <c r="AT107" s="170" t="s">
        <v>193</v>
      </c>
      <c r="AU107" s="170" t="s">
        <v>87</v>
      </c>
      <c r="AV107" s="15" t="s">
        <v>185</v>
      </c>
      <c r="AW107" s="15" t="s">
        <v>36</v>
      </c>
      <c r="AX107" s="15" t="s">
        <v>85</v>
      </c>
      <c r="AY107" s="170" t="s">
        <v>177</v>
      </c>
    </row>
    <row r="108" spans="2:65" s="1" customFormat="1" ht="37.9" customHeight="1">
      <c r="B108" s="128"/>
      <c r="C108" s="129" t="s">
        <v>198</v>
      </c>
      <c r="D108" s="129" t="s">
        <v>180</v>
      </c>
      <c r="E108" s="130" t="s">
        <v>568</v>
      </c>
      <c r="F108" s="131" t="s">
        <v>569</v>
      </c>
      <c r="G108" s="132" t="s">
        <v>332</v>
      </c>
      <c r="H108" s="133">
        <v>20.4</v>
      </c>
      <c r="I108" s="134"/>
      <c r="J108" s="135">
        <f>ROUND(I108*H108,2)</f>
        <v>0</v>
      </c>
      <c r="K108" s="131" t="s">
        <v>184</v>
      </c>
      <c r="L108" s="33"/>
      <c r="M108" s="136" t="s">
        <v>3</v>
      </c>
      <c r="N108" s="137" t="s">
        <v>48</v>
      </c>
      <c r="P108" s="138">
        <f>O108*H108</f>
        <v>0</v>
      </c>
      <c r="Q108" s="138">
        <v>0.15274</v>
      </c>
      <c r="R108" s="138">
        <f>Q108*H108</f>
        <v>3.1158959999999993</v>
      </c>
      <c r="S108" s="138">
        <v>0</v>
      </c>
      <c r="T108" s="139">
        <f>S108*H108</f>
        <v>0</v>
      </c>
      <c r="AR108" s="140" t="s">
        <v>185</v>
      </c>
      <c r="AT108" s="140" t="s">
        <v>180</v>
      </c>
      <c r="AU108" s="140" t="s">
        <v>87</v>
      </c>
      <c r="AY108" s="18" t="s">
        <v>177</v>
      </c>
      <c r="BE108" s="141">
        <f>IF(N108="základní",J108,0)</f>
        <v>0</v>
      </c>
      <c r="BF108" s="141">
        <f>IF(N108="snížená",J108,0)</f>
        <v>0</v>
      </c>
      <c r="BG108" s="141">
        <f>IF(N108="zákl. přenesená",J108,0)</f>
        <v>0</v>
      </c>
      <c r="BH108" s="141">
        <f>IF(N108="sníž. přenesená",J108,0)</f>
        <v>0</v>
      </c>
      <c r="BI108" s="141">
        <f>IF(N108="nulová",J108,0)</f>
        <v>0</v>
      </c>
      <c r="BJ108" s="18" t="s">
        <v>85</v>
      </c>
      <c r="BK108" s="141">
        <f>ROUND(I108*H108,2)</f>
        <v>0</v>
      </c>
      <c r="BL108" s="18" t="s">
        <v>185</v>
      </c>
      <c r="BM108" s="140" t="s">
        <v>570</v>
      </c>
    </row>
    <row r="109" spans="2:47" s="1" customFormat="1" ht="29.25">
      <c r="B109" s="33"/>
      <c r="D109" s="142" t="s">
        <v>187</v>
      </c>
      <c r="F109" s="143" t="s">
        <v>571</v>
      </c>
      <c r="I109" s="144"/>
      <c r="L109" s="33"/>
      <c r="M109" s="145"/>
      <c r="T109" s="54"/>
      <c r="AT109" s="18" t="s">
        <v>187</v>
      </c>
      <c r="AU109" s="18" t="s">
        <v>87</v>
      </c>
    </row>
    <row r="110" spans="2:47" s="1" customFormat="1" ht="11.25">
      <c r="B110" s="33"/>
      <c r="D110" s="146" t="s">
        <v>189</v>
      </c>
      <c r="F110" s="147" t="s">
        <v>572</v>
      </c>
      <c r="I110" s="144"/>
      <c r="L110" s="33"/>
      <c r="M110" s="145"/>
      <c r="T110" s="54"/>
      <c r="AT110" s="18" t="s">
        <v>189</v>
      </c>
      <c r="AU110" s="18" t="s">
        <v>87</v>
      </c>
    </row>
    <row r="111" spans="2:51" s="13" customFormat="1" ht="11.25">
      <c r="B111" s="156"/>
      <c r="D111" s="142" t="s">
        <v>193</v>
      </c>
      <c r="E111" s="157" t="s">
        <v>3</v>
      </c>
      <c r="F111" s="158" t="s">
        <v>573</v>
      </c>
      <c r="H111" s="157" t="s">
        <v>3</v>
      </c>
      <c r="I111" s="159"/>
      <c r="L111" s="156"/>
      <c r="M111" s="160"/>
      <c r="T111" s="161"/>
      <c r="AT111" s="157" t="s">
        <v>193</v>
      </c>
      <c r="AU111" s="157" t="s">
        <v>87</v>
      </c>
      <c r="AV111" s="13" t="s">
        <v>85</v>
      </c>
      <c r="AW111" s="13" t="s">
        <v>36</v>
      </c>
      <c r="AX111" s="13" t="s">
        <v>77</v>
      </c>
      <c r="AY111" s="157" t="s">
        <v>177</v>
      </c>
    </row>
    <row r="112" spans="2:51" s="12" customFormat="1" ht="11.25">
      <c r="B112" s="149"/>
      <c r="D112" s="142" t="s">
        <v>193</v>
      </c>
      <c r="E112" s="150" t="s">
        <v>3</v>
      </c>
      <c r="F112" s="151" t="s">
        <v>574</v>
      </c>
      <c r="H112" s="152">
        <v>20.4</v>
      </c>
      <c r="I112" s="153"/>
      <c r="L112" s="149"/>
      <c r="M112" s="154"/>
      <c r="T112" s="155"/>
      <c r="AT112" s="150" t="s">
        <v>193</v>
      </c>
      <c r="AU112" s="150" t="s">
        <v>87</v>
      </c>
      <c r="AV112" s="12" t="s">
        <v>87</v>
      </c>
      <c r="AW112" s="12" t="s">
        <v>36</v>
      </c>
      <c r="AX112" s="12" t="s">
        <v>85</v>
      </c>
      <c r="AY112" s="150" t="s">
        <v>177</v>
      </c>
    </row>
    <row r="113" spans="2:65" s="1" customFormat="1" ht="33" customHeight="1">
      <c r="B113" s="128"/>
      <c r="C113" s="129" t="s">
        <v>185</v>
      </c>
      <c r="D113" s="129" t="s">
        <v>180</v>
      </c>
      <c r="E113" s="130" t="s">
        <v>575</v>
      </c>
      <c r="F113" s="131" t="s">
        <v>576</v>
      </c>
      <c r="G113" s="132" t="s">
        <v>332</v>
      </c>
      <c r="H113" s="133">
        <v>124.76</v>
      </c>
      <c r="I113" s="134"/>
      <c r="J113" s="135">
        <f>ROUND(I113*H113,2)</f>
        <v>0</v>
      </c>
      <c r="K113" s="131" t="s">
        <v>184</v>
      </c>
      <c r="L113" s="33"/>
      <c r="M113" s="136" t="s">
        <v>3</v>
      </c>
      <c r="N113" s="137" t="s">
        <v>48</v>
      </c>
      <c r="P113" s="138">
        <f>O113*H113</f>
        <v>0</v>
      </c>
      <c r="Q113" s="138">
        <v>0.18249</v>
      </c>
      <c r="R113" s="138">
        <f>Q113*H113</f>
        <v>22.767452400000003</v>
      </c>
      <c r="S113" s="138">
        <v>0</v>
      </c>
      <c r="T113" s="139">
        <f>S113*H113</f>
        <v>0</v>
      </c>
      <c r="AR113" s="140" t="s">
        <v>185</v>
      </c>
      <c r="AT113" s="140" t="s">
        <v>180</v>
      </c>
      <c r="AU113" s="140" t="s">
        <v>87</v>
      </c>
      <c r="AY113" s="18" t="s">
        <v>177</v>
      </c>
      <c r="BE113" s="141">
        <f>IF(N113="základní",J113,0)</f>
        <v>0</v>
      </c>
      <c r="BF113" s="141">
        <f>IF(N113="snížená",J113,0)</f>
        <v>0</v>
      </c>
      <c r="BG113" s="141">
        <f>IF(N113="zákl. přenesená",J113,0)</f>
        <v>0</v>
      </c>
      <c r="BH113" s="141">
        <f>IF(N113="sníž. přenesená",J113,0)</f>
        <v>0</v>
      </c>
      <c r="BI113" s="141">
        <f>IF(N113="nulová",J113,0)</f>
        <v>0</v>
      </c>
      <c r="BJ113" s="18" t="s">
        <v>85</v>
      </c>
      <c r="BK113" s="141">
        <f>ROUND(I113*H113,2)</f>
        <v>0</v>
      </c>
      <c r="BL113" s="18" t="s">
        <v>185</v>
      </c>
      <c r="BM113" s="140" t="s">
        <v>577</v>
      </c>
    </row>
    <row r="114" spans="2:47" s="1" customFormat="1" ht="29.25">
      <c r="B114" s="33"/>
      <c r="D114" s="142" t="s">
        <v>187</v>
      </c>
      <c r="F114" s="143" t="s">
        <v>578</v>
      </c>
      <c r="I114" s="144"/>
      <c r="L114" s="33"/>
      <c r="M114" s="145"/>
      <c r="T114" s="54"/>
      <c r="AT114" s="18" t="s">
        <v>187</v>
      </c>
      <c r="AU114" s="18" t="s">
        <v>87</v>
      </c>
    </row>
    <row r="115" spans="2:47" s="1" customFormat="1" ht="11.25">
      <c r="B115" s="33"/>
      <c r="D115" s="146" t="s">
        <v>189</v>
      </c>
      <c r="F115" s="147" t="s">
        <v>579</v>
      </c>
      <c r="I115" s="144"/>
      <c r="L115" s="33"/>
      <c r="M115" s="145"/>
      <c r="T115" s="54"/>
      <c r="AT115" s="18" t="s">
        <v>189</v>
      </c>
      <c r="AU115" s="18" t="s">
        <v>87</v>
      </c>
    </row>
    <row r="116" spans="2:51" s="12" customFormat="1" ht="11.25">
      <c r="B116" s="149"/>
      <c r="D116" s="142" t="s">
        <v>193</v>
      </c>
      <c r="E116" s="150" t="s">
        <v>3</v>
      </c>
      <c r="F116" s="151" t="s">
        <v>580</v>
      </c>
      <c r="H116" s="152">
        <v>189.6</v>
      </c>
      <c r="I116" s="153"/>
      <c r="L116" s="149"/>
      <c r="M116" s="154"/>
      <c r="T116" s="155"/>
      <c r="AT116" s="150" t="s">
        <v>193</v>
      </c>
      <c r="AU116" s="150" t="s">
        <v>87</v>
      </c>
      <c r="AV116" s="12" t="s">
        <v>87</v>
      </c>
      <c r="AW116" s="12" t="s">
        <v>36</v>
      </c>
      <c r="AX116" s="12" t="s">
        <v>77</v>
      </c>
      <c r="AY116" s="150" t="s">
        <v>177</v>
      </c>
    </row>
    <row r="117" spans="2:51" s="13" customFormat="1" ht="11.25">
      <c r="B117" s="156"/>
      <c r="D117" s="142" t="s">
        <v>193</v>
      </c>
      <c r="E117" s="157" t="s">
        <v>3</v>
      </c>
      <c r="F117" s="158" t="s">
        <v>557</v>
      </c>
      <c r="H117" s="157" t="s">
        <v>3</v>
      </c>
      <c r="I117" s="159"/>
      <c r="L117" s="156"/>
      <c r="M117" s="160"/>
      <c r="T117" s="161"/>
      <c r="AT117" s="157" t="s">
        <v>193</v>
      </c>
      <c r="AU117" s="157" t="s">
        <v>87</v>
      </c>
      <c r="AV117" s="13" t="s">
        <v>85</v>
      </c>
      <c r="AW117" s="13" t="s">
        <v>36</v>
      </c>
      <c r="AX117" s="13" t="s">
        <v>77</v>
      </c>
      <c r="AY117" s="157" t="s">
        <v>177</v>
      </c>
    </row>
    <row r="118" spans="2:51" s="12" customFormat="1" ht="11.25">
      <c r="B118" s="149"/>
      <c r="D118" s="142" t="s">
        <v>193</v>
      </c>
      <c r="E118" s="150" t="s">
        <v>3</v>
      </c>
      <c r="F118" s="151" t="s">
        <v>581</v>
      </c>
      <c r="H118" s="152">
        <v>15.8</v>
      </c>
      <c r="I118" s="153"/>
      <c r="L118" s="149"/>
      <c r="M118" s="154"/>
      <c r="T118" s="155"/>
      <c r="AT118" s="150" t="s">
        <v>193</v>
      </c>
      <c r="AU118" s="150" t="s">
        <v>87</v>
      </c>
      <c r="AV118" s="12" t="s">
        <v>87</v>
      </c>
      <c r="AW118" s="12" t="s">
        <v>36</v>
      </c>
      <c r="AX118" s="12" t="s">
        <v>77</v>
      </c>
      <c r="AY118" s="150" t="s">
        <v>177</v>
      </c>
    </row>
    <row r="119" spans="2:51" s="13" customFormat="1" ht="11.25">
      <c r="B119" s="156"/>
      <c r="D119" s="142" t="s">
        <v>193</v>
      </c>
      <c r="E119" s="157" t="s">
        <v>3</v>
      </c>
      <c r="F119" s="158" t="s">
        <v>582</v>
      </c>
      <c r="H119" s="157" t="s">
        <v>3</v>
      </c>
      <c r="I119" s="159"/>
      <c r="L119" s="156"/>
      <c r="M119" s="160"/>
      <c r="T119" s="161"/>
      <c r="AT119" s="157" t="s">
        <v>193</v>
      </c>
      <c r="AU119" s="157" t="s">
        <v>87</v>
      </c>
      <c r="AV119" s="13" t="s">
        <v>85</v>
      </c>
      <c r="AW119" s="13" t="s">
        <v>36</v>
      </c>
      <c r="AX119" s="13" t="s">
        <v>77</v>
      </c>
      <c r="AY119" s="157" t="s">
        <v>177</v>
      </c>
    </row>
    <row r="120" spans="2:51" s="12" customFormat="1" ht="11.25">
      <c r="B120" s="149"/>
      <c r="D120" s="142" t="s">
        <v>193</v>
      </c>
      <c r="E120" s="150" t="s">
        <v>3</v>
      </c>
      <c r="F120" s="151" t="s">
        <v>583</v>
      </c>
      <c r="H120" s="152">
        <v>-46.08</v>
      </c>
      <c r="I120" s="153"/>
      <c r="L120" s="149"/>
      <c r="M120" s="154"/>
      <c r="T120" s="155"/>
      <c r="AT120" s="150" t="s">
        <v>193</v>
      </c>
      <c r="AU120" s="150" t="s">
        <v>87</v>
      </c>
      <c r="AV120" s="12" t="s">
        <v>87</v>
      </c>
      <c r="AW120" s="12" t="s">
        <v>36</v>
      </c>
      <c r="AX120" s="12" t="s">
        <v>77</v>
      </c>
      <c r="AY120" s="150" t="s">
        <v>177</v>
      </c>
    </row>
    <row r="121" spans="2:51" s="12" customFormat="1" ht="11.25">
      <c r="B121" s="149"/>
      <c r="D121" s="142" t="s">
        <v>193</v>
      </c>
      <c r="E121" s="150" t="s">
        <v>3</v>
      </c>
      <c r="F121" s="151" t="s">
        <v>584</v>
      </c>
      <c r="H121" s="152">
        <v>-34.56</v>
      </c>
      <c r="I121" s="153"/>
      <c r="L121" s="149"/>
      <c r="M121" s="154"/>
      <c r="T121" s="155"/>
      <c r="AT121" s="150" t="s">
        <v>193</v>
      </c>
      <c r="AU121" s="150" t="s">
        <v>87</v>
      </c>
      <c r="AV121" s="12" t="s">
        <v>87</v>
      </c>
      <c r="AW121" s="12" t="s">
        <v>36</v>
      </c>
      <c r="AX121" s="12" t="s">
        <v>77</v>
      </c>
      <c r="AY121" s="150" t="s">
        <v>177</v>
      </c>
    </row>
    <row r="122" spans="2:51" s="15" customFormat="1" ht="11.25">
      <c r="B122" s="169"/>
      <c r="D122" s="142" t="s">
        <v>193</v>
      </c>
      <c r="E122" s="170" t="s">
        <v>3</v>
      </c>
      <c r="F122" s="171" t="s">
        <v>201</v>
      </c>
      <c r="H122" s="172">
        <v>124.75999999999999</v>
      </c>
      <c r="I122" s="173"/>
      <c r="L122" s="169"/>
      <c r="M122" s="174"/>
      <c r="T122" s="175"/>
      <c r="AT122" s="170" t="s">
        <v>193</v>
      </c>
      <c r="AU122" s="170" t="s">
        <v>87</v>
      </c>
      <c r="AV122" s="15" t="s">
        <v>185</v>
      </c>
      <c r="AW122" s="15" t="s">
        <v>36</v>
      </c>
      <c r="AX122" s="15" t="s">
        <v>85</v>
      </c>
      <c r="AY122" s="170" t="s">
        <v>177</v>
      </c>
    </row>
    <row r="123" spans="2:65" s="1" customFormat="1" ht="33" customHeight="1">
      <c r="B123" s="128"/>
      <c r="C123" s="129" t="s">
        <v>200</v>
      </c>
      <c r="D123" s="129" t="s">
        <v>180</v>
      </c>
      <c r="E123" s="130" t="s">
        <v>585</v>
      </c>
      <c r="F123" s="131" t="s">
        <v>586</v>
      </c>
      <c r="G123" s="132" t="s">
        <v>183</v>
      </c>
      <c r="H123" s="133">
        <v>0.499</v>
      </c>
      <c r="I123" s="134"/>
      <c r="J123" s="135">
        <f>ROUND(I123*H123,2)</f>
        <v>0</v>
      </c>
      <c r="K123" s="131" t="s">
        <v>184</v>
      </c>
      <c r="L123" s="33"/>
      <c r="M123" s="136" t="s">
        <v>3</v>
      </c>
      <c r="N123" s="137" t="s">
        <v>48</v>
      </c>
      <c r="P123" s="138">
        <f>O123*H123</f>
        <v>0</v>
      </c>
      <c r="Q123" s="138">
        <v>0.019536</v>
      </c>
      <c r="R123" s="138">
        <f>Q123*H123</f>
        <v>0.009748464</v>
      </c>
      <c r="S123" s="138">
        <v>0</v>
      </c>
      <c r="T123" s="139">
        <f>S123*H123</f>
        <v>0</v>
      </c>
      <c r="AR123" s="140" t="s">
        <v>185</v>
      </c>
      <c r="AT123" s="140" t="s">
        <v>180</v>
      </c>
      <c r="AU123" s="140" t="s">
        <v>87</v>
      </c>
      <c r="AY123" s="18" t="s">
        <v>177</v>
      </c>
      <c r="BE123" s="141">
        <f>IF(N123="základní",J123,0)</f>
        <v>0</v>
      </c>
      <c r="BF123" s="141">
        <f>IF(N123="snížená",J123,0)</f>
        <v>0</v>
      </c>
      <c r="BG123" s="141">
        <f>IF(N123="zákl. přenesená",J123,0)</f>
        <v>0</v>
      </c>
      <c r="BH123" s="141">
        <f>IF(N123="sníž. přenesená",J123,0)</f>
        <v>0</v>
      </c>
      <c r="BI123" s="141">
        <f>IF(N123="nulová",J123,0)</f>
        <v>0</v>
      </c>
      <c r="BJ123" s="18" t="s">
        <v>85</v>
      </c>
      <c r="BK123" s="141">
        <f>ROUND(I123*H123,2)</f>
        <v>0</v>
      </c>
      <c r="BL123" s="18" t="s">
        <v>185</v>
      </c>
      <c r="BM123" s="140" t="s">
        <v>587</v>
      </c>
    </row>
    <row r="124" spans="2:47" s="1" customFormat="1" ht="19.5">
      <c r="B124" s="33"/>
      <c r="D124" s="142" t="s">
        <v>187</v>
      </c>
      <c r="F124" s="143" t="s">
        <v>588</v>
      </c>
      <c r="I124" s="144"/>
      <c r="L124" s="33"/>
      <c r="M124" s="145"/>
      <c r="T124" s="54"/>
      <c r="AT124" s="18" t="s">
        <v>187</v>
      </c>
      <c r="AU124" s="18" t="s">
        <v>87</v>
      </c>
    </row>
    <row r="125" spans="2:47" s="1" customFormat="1" ht="11.25">
      <c r="B125" s="33"/>
      <c r="D125" s="146" t="s">
        <v>189</v>
      </c>
      <c r="F125" s="147" t="s">
        <v>589</v>
      </c>
      <c r="I125" s="144"/>
      <c r="L125" s="33"/>
      <c r="M125" s="145"/>
      <c r="T125" s="54"/>
      <c r="AT125" s="18" t="s">
        <v>189</v>
      </c>
      <c r="AU125" s="18" t="s">
        <v>87</v>
      </c>
    </row>
    <row r="126" spans="2:47" s="1" customFormat="1" ht="78">
      <c r="B126" s="33"/>
      <c r="D126" s="142" t="s">
        <v>191</v>
      </c>
      <c r="F126" s="148" t="s">
        <v>590</v>
      </c>
      <c r="I126" s="144"/>
      <c r="L126" s="33"/>
      <c r="M126" s="145"/>
      <c r="T126" s="54"/>
      <c r="AT126" s="18" t="s">
        <v>191</v>
      </c>
      <c r="AU126" s="18" t="s">
        <v>87</v>
      </c>
    </row>
    <row r="127" spans="2:65" s="1" customFormat="1" ht="24.2" customHeight="1">
      <c r="B127" s="128"/>
      <c r="C127" s="179" t="s">
        <v>233</v>
      </c>
      <c r="D127" s="179" t="s">
        <v>484</v>
      </c>
      <c r="E127" s="180" t="s">
        <v>591</v>
      </c>
      <c r="F127" s="181" t="s">
        <v>592</v>
      </c>
      <c r="G127" s="182" t="s">
        <v>183</v>
      </c>
      <c r="H127" s="183">
        <v>0.524</v>
      </c>
      <c r="I127" s="184"/>
      <c r="J127" s="185">
        <f>ROUND(I127*H127,2)</f>
        <v>0</v>
      </c>
      <c r="K127" s="181" t="s">
        <v>184</v>
      </c>
      <c r="L127" s="186"/>
      <c r="M127" s="187" t="s">
        <v>3</v>
      </c>
      <c r="N127" s="188" t="s">
        <v>48</v>
      </c>
      <c r="P127" s="138">
        <f>O127*H127</f>
        <v>0</v>
      </c>
      <c r="Q127" s="138">
        <v>1</v>
      </c>
      <c r="R127" s="138">
        <f>Q127*H127</f>
        <v>0.524</v>
      </c>
      <c r="S127" s="138">
        <v>0</v>
      </c>
      <c r="T127" s="139">
        <f>S127*H127</f>
        <v>0</v>
      </c>
      <c r="AR127" s="140" t="s">
        <v>248</v>
      </c>
      <c r="AT127" s="140" t="s">
        <v>484</v>
      </c>
      <c r="AU127" s="140" t="s">
        <v>87</v>
      </c>
      <c r="AY127" s="18" t="s">
        <v>177</v>
      </c>
      <c r="BE127" s="141">
        <f>IF(N127="základní",J127,0)</f>
        <v>0</v>
      </c>
      <c r="BF127" s="141">
        <f>IF(N127="snížená",J127,0)</f>
        <v>0</v>
      </c>
      <c r="BG127" s="141">
        <f>IF(N127="zákl. přenesená",J127,0)</f>
        <v>0</v>
      </c>
      <c r="BH127" s="141">
        <f>IF(N127="sníž. přenesená",J127,0)</f>
        <v>0</v>
      </c>
      <c r="BI127" s="141">
        <f>IF(N127="nulová",J127,0)</f>
        <v>0</v>
      </c>
      <c r="BJ127" s="18" t="s">
        <v>85</v>
      </c>
      <c r="BK127" s="141">
        <f>ROUND(I127*H127,2)</f>
        <v>0</v>
      </c>
      <c r="BL127" s="18" t="s">
        <v>185</v>
      </c>
      <c r="BM127" s="140" t="s">
        <v>593</v>
      </c>
    </row>
    <row r="128" spans="2:47" s="1" customFormat="1" ht="11.25">
      <c r="B128" s="33"/>
      <c r="D128" s="142" t="s">
        <v>187</v>
      </c>
      <c r="F128" s="143" t="s">
        <v>594</v>
      </c>
      <c r="I128" s="144"/>
      <c r="L128" s="33"/>
      <c r="M128" s="145"/>
      <c r="T128" s="54"/>
      <c r="AT128" s="18" t="s">
        <v>187</v>
      </c>
      <c r="AU128" s="18" t="s">
        <v>87</v>
      </c>
    </row>
    <row r="129" spans="2:51" s="13" customFormat="1" ht="11.25">
      <c r="B129" s="156"/>
      <c r="D129" s="142" t="s">
        <v>193</v>
      </c>
      <c r="E129" s="157" t="s">
        <v>3</v>
      </c>
      <c r="F129" s="158" t="s">
        <v>595</v>
      </c>
      <c r="H129" s="157" t="s">
        <v>3</v>
      </c>
      <c r="I129" s="159"/>
      <c r="L129" s="156"/>
      <c r="M129" s="160"/>
      <c r="T129" s="161"/>
      <c r="AT129" s="157" t="s">
        <v>193</v>
      </c>
      <c r="AU129" s="157" t="s">
        <v>87</v>
      </c>
      <c r="AV129" s="13" t="s">
        <v>85</v>
      </c>
      <c r="AW129" s="13" t="s">
        <v>36</v>
      </c>
      <c r="AX129" s="13" t="s">
        <v>77</v>
      </c>
      <c r="AY129" s="157" t="s">
        <v>177</v>
      </c>
    </row>
    <row r="130" spans="2:51" s="12" customFormat="1" ht="11.25">
      <c r="B130" s="149"/>
      <c r="D130" s="142" t="s">
        <v>193</v>
      </c>
      <c r="E130" s="150" t="s">
        <v>3</v>
      </c>
      <c r="F130" s="151" t="s">
        <v>596</v>
      </c>
      <c r="H130" s="152">
        <v>0.499</v>
      </c>
      <c r="I130" s="153"/>
      <c r="L130" s="149"/>
      <c r="M130" s="154"/>
      <c r="T130" s="155"/>
      <c r="AT130" s="150" t="s">
        <v>193</v>
      </c>
      <c r="AU130" s="150" t="s">
        <v>87</v>
      </c>
      <c r="AV130" s="12" t="s">
        <v>87</v>
      </c>
      <c r="AW130" s="12" t="s">
        <v>36</v>
      </c>
      <c r="AX130" s="12" t="s">
        <v>77</v>
      </c>
      <c r="AY130" s="150" t="s">
        <v>177</v>
      </c>
    </row>
    <row r="131" spans="2:51" s="15" customFormat="1" ht="11.25">
      <c r="B131" s="169"/>
      <c r="D131" s="142" t="s">
        <v>193</v>
      </c>
      <c r="E131" s="170" t="s">
        <v>3</v>
      </c>
      <c r="F131" s="171" t="s">
        <v>201</v>
      </c>
      <c r="H131" s="172">
        <v>0.499</v>
      </c>
      <c r="I131" s="173"/>
      <c r="L131" s="169"/>
      <c r="M131" s="174"/>
      <c r="T131" s="175"/>
      <c r="AT131" s="170" t="s">
        <v>193</v>
      </c>
      <c r="AU131" s="170" t="s">
        <v>87</v>
      </c>
      <c r="AV131" s="15" t="s">
        <v>185</v>
      </c>
      <c r="AW131" s="15" t="s">
        <v>36</v>
      </c>
      <c r="AX131" s="15" t="s">
        <v>85</v>
      </c>
      <c r="AY131" s="170" t="s">
        <v>177</v>
      </c>
    </row>
    <row r="132" spans="2:51" s="12" customFormat="1" ht="11.25">
      <c r="B132" s="149"/>
      <c r="D132" s="142" t="s">
        <v>193</v>
      </c>
      <c r="F132" s="151" t="s">
        <v>597</v>
      </c>
      <c r="H132" s="152">
        <v>0.524</v>
      </c>
      <c r="I132" s="153"/>
      <c r="L132" s="149"/>
      <c r="M132" s="154"/>
      <c r="T132" s="155"/>
      <c r="AT132" s="150" t="s">
        <v>193</v>
      </c>
      <c r="AU132" s="150" t="s">
        <v>87</v>
      </c>
      <c r="AV132" s="12" t="s">
        <v>87</v>
      </c>
      <c r="AW132" s="12" t="s">
        <v>4</v>
      </c>
      <c r="AX132" s="12" t="s">
        <v>85</v>
      </c>
      <c r="AY132" s="150" t="s">
        <v>177</v>
      </c>
    </row>
    <row r="133" spans="2:65" s="1" customFormat="1" ht="24.2" customHeight="1">
      <c r="B133" s="128"/>
      <c r="C133" s="129" t="s">
        <v>241</v>
      </c>
      <c r="D133" s="129" t="s">
        <v>180</v>
      </c>
      <c r="E133" s="130" t="s">
        <v>598</v>
      </c>
      <c r="F133" s="131" t="s">
        <v>599</v>
      </c>
      <c r="G133" s="132" t="s">
        <v>476</v>
      </c>
      <c r="H133" s="133">
        <v>48</v>
      </c>
      <c r="I133" s="134"/>
      <c r="J133" s="135">
        <f>ROUND(I133*H133,2)</f>
        <v>0</v>
      </c>
      <c r="K133" s="131" t="s">
        <v>184</v>
      </c>
      <c r="L133" s="33"/>
      <c r="M133" s="136" t="s">
        <v>3</v>
      </c>
      <c r="N133" s="137" t="s">
        <v>48</v>
      </c>
      <c r="P133" s="138">
        <f>O133*H133</f>
        <v>0</v>
      </c>
      <c r="Q133" s="138">
        <v>0.0001204071</v>
      </c>
      <c r="R133" s="138">
        <f>Q133*H133</f>
        <v>0.0057795408</v>
      </c>
      <c r="S133" s="138">
        <v>0</v>
      </c>
      <c r="T133" s="139">
        <f>S133*H133</f>
        <v>0</v>
      </c>
      <c r="AR133" s="140" t="s">
        <v>185</v>
      </c>
      <c r="AT133" s="140" t="s">
        <v>180</v>
      </c>
      <c r="AU133" s="140" t="s">
        <v>87</v>
      </c>
      <c r="AY133" s="18" t="s">
        <v>177</v>
      </c>
      <c r="BE133" s="141">
        <f>IF(N133="základní",J133,0)</f>
        <v>0</v>
      </c>
      <c r="BF133" s="141">
        <f>IF(N133="snížená",J133,0)</f>
        <v>0</v>
      </c>
      <c r="BG133" s="141">
        <f>IF(N133="zákl. přenesená",J133,0)</f>
        <v>0</v>
      </c>
      <c r="BH133" s="141">
        <f>IF(N133="sníž. přenesená",J133,0)</f>
        <v>0</v>
      </c>
      <c r="BI133" s="141">
        <f>IF(N133="nulová",J133,0)</f>
        <v>0</v>
      </c>
      <c r="BJ133" s="18" t="s">
        <v>85</v>
      </c>
      <c r="BK133" s="141">
        <f>ROUND(I133*H133,2)</f>
        <v>0</v>
      </c>
      <c r="BL133" s="18" t="s">
        <v>185</v>
      </c>
      <c r="BM133" s="140" t="s">
        <v>600</v>
      </c>
    </row>
    <row r="134" spans="2:47" s="1" customFormat="1" ht="11.25">
      <c r="B134" s="33"/>
      <c r="D134" s="142" t="s">
        <v>187</v>
      </c>
      <c r="F134" s="143" t="s">
        <v>601</v>
      </c>
      <c r="I134" s="144"/>
      <c r="L134" s="33"/>
      <c r="M134" s="145"/>
      <c r="T134" s="54"/>
      <c r="AT134" s="18" t="s">
        <v>187</v>
      </c>
      <c r="AU134" s="18" t="s">
        <v>87</v>
      </c>
    </row>
    <row r="135" spans="2:47" s="1" customFormat="1" ht="11.25">
      <c r="B135" s="33"/>
      <c r="D135" s="146" t="s">
        <v>189</v>
      </c>
      <c r="F135" s="147" t="s">
        <v>602</v>
      </c>
      <c r="I135" s="144"/>
      <c r="L135" s="33"/>
      <c r="M135" s="145"/>
      <c r="T135" s="54"/>
      <c r="AT135" s="18" t="s">
        <v>189</v>
      </c>
      <c r="AU135" s="18" t="s">
        <v>87</v>
      </c>
    </row>
    <row r="136" spans="2:47" s="1" customFormat="1" ht="78">
      <c r="B136" s="33"/>
      <c r="D136" s="142" t="s">
        <v>191</v>
      </c>
      <c r="F136" s="148" t="s">
        <v>603</v>
      </c>
      <c r="I136" s="144"/>
      <c r="L136" s="33"/>
      <c r="M136" s="145"/>
      <c r="T136" s="54"/>
      <c r="AT136" s="18" t="s">
        <v>191</v>
      </c>
      <c r="AU136" s="18" t="s">
        <v>87</v>
      </c>
    </row>
    <row r="137" spans="2:51" s="12" customFormat="1" ht="11.25">
      <c r="B137" s="149"/>
      <c r="D137" s="142" t="s">
        <v>193</v>
      </c>
      <c r="E137" s="150" t="s">
        <v>3</v>
      </c>
      <c r="F137" s="151" t="s">
        <v>604</v>
      </c>
      <c r="H137" s="152">
        <v>48</v>
      </c>
      <c r="I137" s="153"/>
      <c r="L137" s="149"/>
      <c r="M137" s="154"/>
      <c r="T137" s="155"/>
      <c r="AT137" s="150" t="s">
        <v>193</v>
      </c>
      <c r="AU137" s="150" t="s">
        <v>87</v>
      </c>
      <c r="AV137" s="12" t="s">
        <v>87</v>
      </c>
      <c r="AW137" s="12" t="s">
        <v>36</v>
      </c>
      <c r="AX137" s="12" t="s">
        <v>85</v>
      </c>
      <c r="AY137" s="150" t="s">
        <v>177</v>
      </c>
    </row>
    <row r="138" spans="2:65" s="1" customFormat="1" ht="24.2" customHeight="1">
      <c r="B138" s="128"/>
      <c r="C138" s="129" t="s">
        <v>248</v>
      </c>
      <c r="D138" s="129" t="s">
        <v>180</v>
      </c>
      <c r="E138" s="130" t="s">
        <v>605</v>
      </c>
      <c r="F138" s="131" t="s">
        <v>606</v>
      </c>
      <c r="G138" s="132" t="s">
        <v>476</v>
      </c>
      <c r="H138" s="133">
        <v>40.8</v>
      </c>
      <c r="I138" s="134"/>
      <c r="J138" s="135">
        <f>ROUND(I138*H138,2)</f>
        <v>0</v>
      </c>
      <c r="K138" s="131" t="s">
        <v>244</v>
      </c>
      <c r="L138" s="33"/>
      <c r="M138" s="136" t="s">
        <v>3</v>
      </c>
      <c r="N138" s="137" t="s">
        <v>48</v>
      </c>
      <c r="P138" s="138">
        <f>O138*H138</f>
        <v>0</v>
      </c>
      <c r="Q138" s="138">
        <v>0.00013</v>
      </c>
      <c r="R138" s="138">
        <f>Q138*H138</f>
        <v>0.005303999999999999</v>
      </c>
      <c r="S138" s="138">
        <v>0</v>
      </c>
      <c r="T138" s="139">
        <f>S138*H138</f>
        <v>0</v>
      </c>
      <c r="AR138" s="140" t="s">
        <v>185</v>
      </c>
      <c r="AT138" s="140" t="s">
        <v>180</v>
      </c>
      <c r="AU138" s="140" t="s">
        <v>87</v>
      </c>
      <c r="AY138" s="18" t="s">
        <v>177</v>
      </c>
      <c r="BE138" s="141">
        <f>IF(N138="základní",J138,0)</f>
        <v>0</v>
      </c>
      <c r="BF138" s="141">
        <f>IF(N138="snížená",J138,0)</f>
        <v>0</v>
      </c>
      <c r="BG138" s="141">
        <f>IF(N138="zákl. přenesená",J138,0)</f>
        <v>0</v>
      </c>
      <c r="BH138" s="141">
        <f>IF(N138="sníž. přenesená",J138,0)</f>
        <v>0</v>
      </c>
      <c r="BI138" s="141">
        <f>IF(N138="nulová",J138,0)</f>
        <v>0</v>
      </c>
      <c r="BJ138" s="18" t="s">
        <v>85</v>
      </c>
      <c r="BK138" s="141">
        <f>ROUND(I138*H138,2)</f>
        <v>0</v>
      </c>
      <c r="BL138" s="18" t="s">
        <v>185</v>
      </c>
      <c r="BM138" s="140" t="s">
        <v>607</v>
      </c>
    </row>
    <row r="139" spans="2:47" s="1" customFormat="1" ht="11.25">
      <c r="B139" s="33"/>
      <c r="D139" s="142" t="s">
        <v>187</v>
      </c>
      <c r="F139" s="143" t="s">
        <v>608</v>
      </c>
      <c r="I139" s="144"/>
      <c r="L139" s="33"/>
      <c r="M139" s="145"/>
      <c r="T139" s="54"/>
      <c r="AT139" s="18" t="s">
        <v>187</v>
      </c>
      <c r="AU139" s="18" t="s">
        <v>87</v>
      </c>
    </row>
    <row r="140" spans="2:47" s="1" customFormat="1" ht="78">
      <c r="B140" s="33"/>
      <c r="D140" s="142" t="s">
        <v>191</v>
      </c>
      <c r="F140" s="148" t="s">
        <v>603</v>
      </c>
      <c r="I140" s="144"/>
      <c r="L140" s="33"/>
      <c r="M140" s="145"/>
      <c r="T140" s="54"/>
      <c r="AT140" s="18" t="s">
        <v>191</v>
      </c>
      <c r="AU140" s="18" t="s">
        <v>87</v>
      </c>
    </row>
    <row r="141" spans="2:51" s="13" customFormat="1" ht="22.5">
      <c r="B141" s="156"/>
      <c r="D141" s="142" t="s">
        <v>193</v>
      </c>
      <c r="E141" s="157" t="s">
        <v>3</v>
      </c>
      <c r="F141" s="158" t="s">
        <v>609</v>
      </c>
      <c r="H141" s="157" t="s">
        <v>3</v>
      </c>
      <c r="I141" s="159"/>
      <c r="L141" s="156"/>
      <c r="M141" s="160"/>
      <c r="T141" s="161"/>
      <c r="AT141" s="157" t="s">
        <v>193</v>
      </c>
      <c r="AU141" s="157" t="s">
        <v>87</v>
      </c>
      <c r="AV141" s="13" t="s">
        <v>85</v>
      </c>
      <c r="AW141" s="13" t="s">
        <v>36</v>
      </c>
      <c r="AX141" s="13" t="s">
        <v>77</v>
      </c>
      <c r="AY141" s="157" t="s">
        <v>177</v>
      </c>
    </row>
    <row r="142" spans="2:51" s="12" customFormat="1" ht="11.25">
      <c r="B142" s="149"/>
      <c r="D142" s="142" t="s">
        <v>193</v>
      </c>
      <c r="E142" s="150" t="s">
        <v>3</v>
      </c>
      <c r="F142" s="151" t="s">
        <v>610</v>
      </c>
      <c r="H142" s="152">
        <v>9.2</v>
      </c>
      <c r="I142" s="153"/>
      <c r="L142" s="149"/>
      <c r="M142" s="154"/>
      <c r="T142" s="155"/>
      <c r="AT142" s="150" t="s">
        <v>193</v>
      </c>
      <c r="AU142" s="150" t="s">
        <v>87</v>
      </c>
      <c r="AV142" s="12" t="s">
        <v>87</v>
      </c>
      <c r="AW142" s="12" t="s">
        <v>36</v>
      </c>
      <c r="AX142" s="12" t="s">
        <v>77</v>
      </c>
      <c r="AY142" s="150" t="s">
        <v>177</v>
      </c>
    </row>
    <row r="143" spans="2:51" s="12" customFormat="1" ht="11.25">
      <c r="B143" s="149"/>
      <c r="D143" s="142" t="s">
        <v>193</v>
      </c>
      <c r="E143" s="150" t="s">
        <v>3</v>
      </c>
      <c r="F143" s="151" t="s">
        <v>611</v>
      </c>
      <c r="H143" s="152">
        <v>31.6</v>
      </c>
      <c r="I143" s="153"/>
      <c r="L143" s="149"/>
      <c r="M143" s="154"/>
      <c r="T143" s="155"/>
      <c r="AT143" s="150" t="s">
        <v>193</v>
      </c>
      <c r="AU143" s="150" t="s">
        <v>87</v>
      </c>
      <c r="AV143" s="12" t="s">
        <v>87</v>
      </c>
      <c r="AW143" s="12" t="s">
        <v>36</v>
      </c>
      <c r="AX143" s="12" t="s">
        <v>77</v>
      </c>
      <c r="AY143" s="150" t="s">
        <v>177</v>
      </c>
    </row>
    <row r="144" spans="2:51" s="15" customFormat="1" ht="11.25">
      <c r="B144" s="169"/>
      <c r="D144" s="142" t="s">
        <v>193</v>
      </c>
      <c r="E144" s="170" t="s">
        <v>3</v>
      </c>
      <c r="F144" s="171" t="s">
        <v>201</v>
      </c>
      <c r="H144" s="172">
        <v>40.8</v>
      </c>
      <c r="I144" s="173"/>
      <c r="L144" s="169"/>
      <c r="M144" s="174"/>
      <c r="T144" s="175"/>
      <c r="AT144" s="170" t="s">
        <v>193</v>
      </c>
      <c r="AU144" s="170" t="s">
        <v>87</v>
      </c>
      <c r="AV144" s="15" t="s">
        <v>185</v>
      </c>
      <c r="AW144" s="15" t="s">
        <v>36</v>
      </c>
      <c r="AX144" s="15" t="s">
        <v>85</v>
      </c>
      <c r="AY144" s="170" t="s">
        <v>177</v>
      </c>
    </row>
    <row r="145" spans="2:65" s="1" customFormat="1" ht="24.2" customHeight="1">
      <c r="B145" s="128"/>
      <c r="C145" s="129" t="s">
        <v>252</v>
      </c>
      <c r="D145" s="129" t="s">
        <v>180</v>
      </c>
      <c r="E145" s="130" t="s">
        <v>612</v>
      </c>
      <c r="F145" s="131" t="s">
        <v>613</v>
      </c>
      <c r="G145" s="132" t="s">
        <v>476</v>
      </c>
      <c r="H145" s="133">
        <v>102</v>
      </c>
      <c r="I145" s="134"/>
      <c r="J145" s="135">
        <f>ROUND(I145*H145,2)</f>
        <v>0</v>
      </c>
      <c r="K145" s="131" t="s">
        <v>244</v>
      </c>
      <c r="L145" s="33"/>
      <c r="M145" s="136" t="s">
        <v>3</v>
      </c>
      <c r="N145" s="137" t="s">
        <v>48</v>
      </c>
      <c r="P145" s="138">
        <f>O145*H145</f>
        <v>0</v>
      </c>
      <c r="Q145" s="138">
        <v>0.0002</v>
      </c>
      <c r="R145" s="138">
        <f>Q145*H145</f>
        <v>0.0204</v>
      </c>
      <c r="S145" s="138">
        <v>0</v>
      </c>
      <c r="T145" s="139">
        <f>S145*H145</f>
        <v>0</v>
      </c>
      <c r="AR145" s="140" t="s">
        <v>185</v>
      </c>
      <c r="AT145" s="140" t="s">
        <v>180</v>
      </c>
      <c r="AU145" s="140" t="s">
        <v>87</v>
      </c>
      <c r="AY145" s="18" t="s">
        <v>177</v>
      </c>
      <c r="BE145" s="141">
        <f>IF(N145="základní",J145,0)</f>
        <v>0</v>
      </c>
      <c r="BF145" s="141">
        <f>IF(N145="snížená",J145,0)</f>
        <v>0</v>
      </c>
      <c r="BG145" s="141">
        <f>IF(N145="zákl. přenesená",J145,0)</f>
        <v>0</v>
      </c>
      <c r="BH145" s="141">
        <f>IF(N145="sníž. přenesená",J145,0)</f>
        <v>0</v>
      </c>
      <c r="BI145" s="141">
        <f>IF(N145="nulová",J145,0)</f>
        <v>0</v>
      </c>
      <c r="BJ145" s="18" t="s">
        <v>85</v>
      </c>
      <c r="BK145" s="141">
        <f>ROUND(I145*H145,2)</f>
        <v>0</v>
      </c>
      <c r="BL145" s="18" t="s">
        <v>185</v>
      </c>
      <c r="BM145" s="140" t="s">
        <v>614</v>
      </c>
    </row>
    <row r="146" spans="2:47" s="1" customFormat="1" ht="11.25">
      <c r="B146" s="33"/>
      <c r="D146" s="142" t="s">
        <v>187</v>
      </c>
      <c r="F146" s="143" t="s">
        <v>615</v>
      </c>
      <c r="I146" s="144"/>
      <c r="L146" s="33"/>
      <c r="M146" s="145"/>
      <c r="T146" s="54"/>
      <c r="AT146" s="18" t="s">
        <v>187</v>
      </c>
      <c r="AU146" s="18" t="s">
        <v>87</v>
      </c>
    </row>
    <row r="147" spans="2:47" s="1" customFormat="1" ht="78">
      <c r="B147" s="33"/>
      <c r="D147" s="142" t="s">
        <v>191</v>
      </c>
      <c r="F147" s="148" t="s">
        <v>603</v>
      </c>
      <c r="I147" s="144"/>
      <c r="L147" s="33"/>
      <c r="M147" s="145"/>
      <c r="T147" s="54"/>
      <c r="AT147" s="18" t="s">
        <v>191</v>
      </c>
      <c r="AU147" s="18" t="s">
        <v>87</v>
      </c>
    </row>
    <row r="148" spans="2:51" s="12" customFormat="1" ht="11.25">
      <c r="B148" s="149"/>
      <c r="D148" s="142" t="s">
        <v>193</v>
      </c>
      <c r="E148" s="150" t="s">
        <v>3</v>
      </c>
      <c r="F148" s="151" t="s">
        <v>616</v>
      </c>
      <c r="H148" s="152">
        <v>23</v>
      </c>
      <c r="I148" s="153"/>
      <c r="L148" s="149"/>
      <c r="M148" s="154"/>
      <c r="T148" s="155"/>
      <c r="AT148" s="150" t="s">
        <v>193</v>
      </c>
      <c r="AU148" s="150" t="s">
        <v>87</v>
      </c>
      <c r="AV148" s="12" t="s">
        <v>87</v>
      </c>
      <c r="AW148" s="12" t="s">
        <v>36</v>
      </c>
      <c r="AX148" s="12" t="s">
        <v>77</v>
      </c>
      <c r="AY148" s="150" t="s">
        <v>177</v>
      </c>
    </row>
    <row r="149" spans="2:51" s="12" customFormat="1" ht="11.25">
      <c r="B149" s="149"/>
      <c r="D149" s="142" t="s">
        <v>193</v>
      </c>
      <c r="E149" s="150" t="s">
        <v>3</v>
      </c>
      <c r="F149" s="151" t="s">
        <v>617</v>
      </c>
      <c r="H149" s="152">
        <v>79</v>
      </c>
      <c r="I149" s="153"/>
      <c r="L149" s="149"/>
      <c r="M149" s="154"/>
      <c r="T149" s="155"/>
      <c r="AT149" s="150" t="s">
        <v>193</v>
      </c>
      <c r="AU149" s="150" t="s">
        <v>87</v>
      </c>
      <c r="AV149" s="12" t="s">
        <v>87</v>
      </c>
      <c r="AW149" s="12" t="s">
        <v>36</v>
      </c>
      <c r="AX149" s="12" t="s">
        <v>77</v>
      </c>
      <c r="AY149" s="150" t="s">
        <v>177</v>
      </c>
    </row>
    <row r="150" spans="2:51" s="15" customFormat="1" ht="11.25">
      <c r="B150" s="169"/>
      <c r="D150" s="142" t="s">
        <v>193</v>
      </c>
      <c r="E150" s="170" t="s">
        <v>3</v>
      </c>
      <c r="F150" s="171" t="s">
        <v>201</v>
      </c>
      <c r="H150" s="172">
        <v>102</v>
      </c>
      <c r="I150" s="173"/>
      <c r="L150" s="169"/>
      <c r="M150" s="174"/>
      <c r="T150" s="175"/>
      <c r="AT150" s="170" t="s">
        <v>193</v>
      </c>
      <c r="AU150" s="170" t="s">
        <v>87</v>
      </c>
      <c r="AV150" s="15" t="s">
        <v>185</v>
      </c>
      <c r="AW150" s="15" t="s">
        <v>36</v>
      </c>
      <c r="AX150" s="15" t="s">
        <v>85</v>
      </c>
      <c r="AY150" s="170" t="s">
        <v>177</v>
      </c>
    </row>
    <row r="151" spans="2:65" s="1" customFormat="1" ht="24.2" customHeight="1">
      <c r="B151" s="128"/>
      <c r="C151" s="129" t="s">
        <v>258</v>
      </c>
      <c r="D151" s="129" t="s">
        <v>180</v>
      </c>
      <c r="E151" s="130" t="s">
        <v>618</v>
      </c>
      <c r="F151" s="131" t="s">
        <v>619</v>
      </c>
      <c r="G151" s="132" t="s">
        <v>476</v>
      </c>
      <c r="H151" s="133">
        <v>24</v>
      </c>
      <c r="I151" s="134"/>
      <c r="J151" s="135">
        <f>ROUND(I151*H151,2)</f>
        <v>0</v>
      </c>
      <c r="K151" s="131" t="s">
        <v>184</v>
      </c>
      <c r="L151" s="33"/>
      <c r="M151" s="136" t="s">
        <v>3</v>
      </c>
      <c r="N151" s="137" t="s">
        <v>48</v>
      </c>
      <c r="P151" s="138">
        <f>O151*H151</f>
        <v>0</v>
      </c>
      <c r="Q151" s="138">
        <v>0.00306</v>
      </c>
      <c r="R151" s="138">
        <f>Q151*H151</f>
        <v>0.07343999999999999</v>
      </c>
      <c r="S151" s="138">
        <v>0</v>
      </c>
      <c r="T151" s="139">
        <f>S151*H151</f>
        <v>0</v>
      </c>
      <c r="AR151" s="140" t="s">
        <v>185</v>
      </c>
      <c r="AT151" s="140" t="s">
        <v>180</v>
      </c>
      <c r="AU151" s="140" t="s">
        <v>87</v>
      </c>
      <c r="AY151" s="18" t="s">
        <v>177</v>
      </c>
      <c r="BE151" s="141">
        <f>IF(N151="základní",J151,0)</f>
        <v>0</v>
      </c>
      <c r="BF151" s="141">
        <f>IF(N151="snížená",J151,0)</f>
        <v>0</v>
      </c>
      <c r="BG151" s="141">
        <f>IF(N151="zákl. přenesená",J151,0)</f>
        <v>0</v>
      </c>
      <c r="BH151" s="141">
        <f>IF(N151="sníž. přenesená",J151,0)</f>
        <v>0</v>
      </c>
      <c r="BI151" s="141">
        <f>IF(N151="nulová",J151,0)</f>
        <v>0</v>
      </c>
      <c r="BJ151" s="18" t="s">
        <v>85</v>
      </c>
      <c r="BK151" s="141">
        <f>ROUND(I151*H151,2)</f>
        <v>0</v>
      </c>
      <c r="BL151" s="18" t="s">
        <v>185</v>
      </c>
      <c r="BM151" s="140" t="s">
        <v>620</v>
      </c>
    </row>
    <row r="152" spans="2:47" s="1" customFormat="1" ht="11.25">
      <c r="B152" s="33"/>
      <c r="D152" s="142" t="s">
        <v>187</v>
      </c>
      <c r="F152" s="143" t="s">
        <v>621</v>
      </c>
      <c r="I152" s="144"/>
      <c r="L152" s="33"/>
      <c r="M152" s="145"/>
      <c r="T152" s="54"/>
      <c r="AT152" s="18" t="s">
        <v>187</v>
      </c>
      <c r="AU152" s="18" t="s">
        <v>87</v>
      </c>
    </row>
    <row r="153" spans="2:47" s="1" customFormat="1" ht="11.25">
      <c r="B153" s="33"/>
      <c r="D153" s="146" t="s">
        <v>189</v>
      </c>
      <c r="F153" s="147" t="s">
        <v>622</v>
      </c>
      <c r="I153" s="144"/>
      <c r="L153" s="33"/>
      <c r="M153" s="145"/>
      <c r="T153" s="54"/>
      <c r="AT153" s="18" t="s">
        <v>189</v>
      </c>
      <c r="AU153" s="18" t="s">
        <v>87</v>
      </c>
    </row>
    <row r="154" spans="2:47" s="1" customFormat="1" ht="78">
      <c r="B154" s="33"/>
      <c r="D154" s="142" t="s">
        <v>191</v>
      </c>
      <c r="F154" s="148" t="s">
        <v>603</v>
      </c>
      <c r="I154" s="144"/>
      <c r="L154" s="33"/>
      <c r="M154" s="145"/>
      <c r="T154" s="54"/>
      <c r="AT154" s="18" t="s">
        <v>191</v>
      </c>
      <c r="AU154" s="18" t="s">
        <v>87</v>
      </c>
    </row>
    <row r="155" spans="2:51" s="13" customFormat="1" ht="11.25">
      <c r="B155" s="156"/>
      <c r="D155" s="142" t="s">
        <v>193</v>
      </c>
      <c r="E155" s="157" t="s">
        <v>3</v>
      </c>
      <c r="F155" s="158" t="s">
        <v>623</v>
      </c>
      <c r="H155" s="157" t="s">
        <v>3</v>
      </c>
      <c r="I155" s="159"/>
      <c r="L155" s="156"/>
      <c r="M155" s="160"/>
      <c r="T155" s="161"/>
      <c r="AT155" s="157" t="s">
        <v>193</v>
      </c>
      <c r="AU155" s="157" t="s">
        <v>87</v>
      </c>
      <c r="AV155" s="13" t="s">
        <v>85</v>
      </c>
      <c r="AW155" s="13" t="s">
        <v>36</v>
      </c>
      <c r="AX155" s="13" t="s">
        <v>77</v>
      </c>
      <c r="AY155" s="157" t="s">
        <v>177</v>
      </c>
    </row>
    <row r="156" spans="2:51" s="12" customFormat="1" ht="11.25">
      <c r="B156" s="149"/>
      <c r="D156" s="142" t="s">
        <v>193</v>
      </c>
      <c r="E156" s="150" t="s">
        <v>3</v>
      </c>
      <c r="F156" s="151" t="s">
        <v>624</v>
      </c>
      <c r="H156" s="152">
        <v>24</v>
      </c>
      <c r="I156" s="153"/>
      <c r="L156" s="149"/>
      <c r="M156" s="154"/>
      <c r="T156" s="155"/>
      <c r="AT156" s="150" t="s">
        <v>193</v>
      </c>
      <c r="AU156" s="150" t="s">
        <v>87</v>
      </c>
      <c r="AV156" s="12" t="s">
        <v>87</v>
      </c>
      <c r="AW156" s="12" t="s">
        <v>36</v>
      </c>
      <c r="AX156" s="12" t="s">
        <v>85</v>
      </c>
      <c r="AY156" s="150" t="s">
        <v>177</v>
      </c>
    </row>
    <row r="157" spans="2:63" s="11" customFormat="1" ht="22.9" customHeight="1">
      <c r="B157" s="116"/>
      <c r="D157" s="117" t="s">
        <v>76</v>
      </c>
      <c r="E157" s="126" t="s">
        <v>233</v>
      </c>
      <c r="F157" s="126" t="s">
        <v>625</v>
      </c>
      <c r="I157" s="119"/>
      <c r="J157" s="127">
        <f>BK157</f>
        <v>0</v>
      </c>
      <c r="L157" s="116"/>
      <c r="M157" s="121"/>
      <c r="P157" s="122">
        <f>SUM(P158:P172)</f>
        <v>0</v>
      </c>
      <c r="R157" s="122">
        <f>SUM(R158:R172)</f>
        <v>2.32198848</v>
      </c>
      <c r="T157" s="123">
        <f>SUM(T158:T172)</f>
        <v>0</v>
      </c>
      <c r="AR157" s="117" t="s">
        <v>85</v>
      </c>
      <c r="AT157" s="124" t="s">
        <v>76</v>
      </c>
      <c r="AU157" s="124" t="s">
        <v>85</v>
      </c>
      <c r="AY157" s="117" t="s">
        <v>177</v>
      </c>
      <c r="BK157" s="125">
        <f>SUM(BK158:BK172)</f>
        <v>0</v>
      </c>
    </row>
    <row r="158" spans="2:65" s="1" customFormat="1" ht="16.5" customHeight="1">
      <c r="B158" s="128"/>
      <c r="C158" s="129" t="s">
        <v>265</v>
      </c>
      <c r="D158" s="129" t="s">
        <v>180</v>
      </c>
      <c r="E158" s="130" t="s">
        <v>626</v>
      </c>
      <c r="F158" s="131" t="s">
        <v>627</v>
      </c>
      <c r="G158" s="132" t="s">
        <v>332</v>
      </c>
      <c r="H158" s="133">
        <v>30.24</v>
      </c>
      <c r="I158" s="134"/>
      <c r="J158" s="135">
        <f>ROUND(I158*H158,2)</f>
        <v>0</v>
      </c>
      <c r="K158" s="131" t="s">
        <v>184</v>
      </c>
      <c r="L158" s="33"/>
      <c r="M158" s="136" t="s">
        <v>3</v>
      </c>
      <c r="N158" s="137" t="s">
        <v>48</v>
      </c>
      <c r="P158" s="138">
        <f>O158*H158</f>
        <v>0</v>
      </c>
      <c r="Q158" s="138">
        <v>0.0426</v>
      </c>
      <c r="R158" s="138">
        <f>Q158*H158</f>
        <v>1.2882239999999998</v>
      </c>
      <c r="S158" s="138">
        <v>0</v>
      </c>
      <c r="T158" s="139">
        <f>S158*H158</f>
        <v>0</v>
      </c>
      <c r="AR158" s="140" t="s">
        <v>185</v>
      </c>
      <c r="AT158" s="140" t="s">
        <v>180</v>
      </c>
      <c r="AU158" s="140" t="s">
        <v>87</v>
      </c>
      <c r="AY158" s="18" t="s">
        <v>177</v>
      </c>
      <c r="BE158" s="141">
        <f>IF(N158="základní",J158,0)</f>
        <v>0</v>
      </c>
      <c r="BF158" s="141">
        <f>IF(N158="snížená",J158,0)</f>
        <v>0</v>
      </c>
      <c r="BG158" s="141">
        <f>IF(N158="zákl. přenesená",J158,0)</f>
        <v>0</v>
      </c>
      <c r="BH158" s="141">
        <f>IF(N158="sníž. přenesená",J158,0)</f>
        <v>0</v>
      </c>
      <c r="BI158" s="141">
        <f>IF(N158="nulová",J158,0)</f>
        <v>0</v>
      </c>
      <c r="BJ158" s="18" t="s">
        <v>85</v>
      </c>
      <c r="BK158" s="141">
        <f>ROUND(I158*H158,2)</f>
        <v>0</v>
      </c>
      <c r="BL158" s="18" t="s">
        <v>185</v>
      </c>
      <c r="BM158" s="140" t="s">
        <v>628</v>
      </c>
    </row>
    <row r="159" spans="2:47" s="1" customFormat="1" ht="11.25">
      <c r="B159" s="33"/>
      <c r="D159" s="142" t="s">
        <v>187</v>
      </c>
      <c r="F159" s="143" t="s">
        <v>629</v>
      </c>
      <c r="I159" s="144"/>
      <c r="L159" s="33"/>
      <c r="M159" s="145"/>
      <c r="T159" s="54"/>
      <c r="AT159" s="18" t="s">
        <v>187</v>
      </c>
      <c r="AU159" s="18" t="s">
        <v>87</v>
      </c>
    </row>
    <row r="160" spans="2:47" s="1" customFormat="1" ht="11.25">
      <c r="B160" s="33"/>
      <c r="D160" s="146" t="s">
        <v>189</v>
      </c>
      <c r="F160" s="147" t="s">
        <v>630</v>
      </c>
      <c r="I160" s="144"/>
      <c r="L160" s="33"/>
      <c r="M160" s="145"/>
      <c r="T160" s="54"/>
      <c r="AT160" s="18" t="s">
        <v>189</v>
      </c>
      <c r="AU160" s="18" t="s">
        <v>87</v>
      </c>
    </row>
    <row r="161" spans="2:47" s="1" customFormat="1" ht="48.75">
      <c r="B161" s="33"/>
      <c r="D161" s="142" t="s">
        <v>191</v>
      </c>
      <c r="F161" s="148" t="s">
        <v>631</v>
      </c>
      <c r="I161" s="144"/>
      <c r="L161" s="33"/>
      <c r="M161" s="145"/>
      <c r="T161" s="54"/>
      <c r="AT161" s="18" t="s">
        <v>191</v>
      </c>
      <c r="AU161" s="18" t="s">
        <v>87</v>
      </c>
    </row>
    <row r="162" spans="2:51" s="12" customFormat="1" ht="11.25">
      <c r="B162" s="149"/>
      <c r="D162" s="142" t="s">
        <v>193</v>
      </c>
      <c r="E162" s="150" t="s">
        <v>3</v>
      </c>
      <c r="F162" s="151" t="s">
        <v>632</v>
      </c>
      <c r="H162" s="152">
        <v>30.24</v>
      </c>
      <c r="I162" s="153"/>
      <c r="L162" s="149"/>
      <c r="M162" s="154"/>
      <c r="T162" s="155"/>
      <c r="AT162" s="150" t="s">
        <v>193</v>
      </c>
      <c r="AU162" s="150" t="s">
        <v>87</v>
      </c>
      <c r="AV162" s="12" t="s">
        <v>87</v>
      </c>
      <c r="AW162" s="12" t="s">
        <v>36</v>
      </c>
      <c r="AX162" s="12" t="s">
        <v>85</v>
      </c>
      <c r="AY162" s="150" t="s">
        <v>177</v>
      </c>
    </row>
    <row r="163" spans="2:65" s="1" customFormat="1" ht="16.5" customHeight="1">
      <c r="B163" s="128"/>
      <c r="C163" s="129" t="s">
        <v>271</v>
      </c>
      <c r="D163" s="129" t="s">
        <v>180</v>
      </c>
      <c r="E163" s="130" t="s">
        <v>633</v>
      </c>
      <c r="F163" s="131" t="s">
        <v>634</v>
      </c>
      <c r="G163" s="132" t="s">
        <v>332</v>
      </c>
      <c r="H163" s="133">
        <v>30.24</v>
      </c>
      <c r="I163" s="134"/>
      <c r="J163" s="135">
        <f>ROUND(I163*H163,2)</f>
        <v>0</v>
      </c>
      <c r="K163" s="131" t="s">
        <v>184</v>
      </c>
      <c r="L163" s="33"/>
      <c r="M163" s="136" t="s">
        <v>3</v>
      </c>
      <c r="N163" s="137" t="s">
        <v>48</v>
      </c>
      <c r="P163" s="138">
        <f>O163*H163</f>
        <v>0</v>
      </c>
      <c r="Q163" s="138">
        <v>0.000852</v>
      </c>
      <c r="R163" s="138">
        <f>Q163*H163</f>
        <v>0.02576448</v>
      </c>
      <c r="S163" s="138">
        <v>0</v>
      </c>
      <c r="T163" s="139">
        <f>S163*H163</f>
        <v>0</v>
      </c>
      <c r="AR163" s="140" t="s">
        <v>185</v>
      </c>
      <c r="AT163" s="140" t="s">
        <v>180</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635</v>
      </c>
    </row>
    <row r="164" spans="2:47" s="1" customFormat="1" ht="19.5">
      <c r="B164" s="33"/>
      <c r="D164" s="142" t="s">
        <v>187</v>
      </c>
      <c r="F164" s="143" t="s">
        <v>636</v>
      </c>
      <c r="I164" s="144"/>
      <c r="L164" s="33"/>
      <c r="M164" s="145"/>
      <c r="T164" s="54"/>
      <c r="AT164" s="18" t="s">
        <v>187</v>
      </c>
      <c r="AU164" s="18" t="s">
        <v>87</v>
      </c>
    </row>
    <row r="165" spans="2:47" s="1" customFormat="1" ht="11.25">
      <c r="B165" s="33"/>
      <c r="D165" s="146" t="s">
        <v>189</v>
      </c>
      <c r="F165" s="147" t="s">
        <v>637</v>
      </c>
      <c r="I165" s="144"/>
      <c r="L165" s="33"/>
      <c r="M165" s="145"/>
      <c r="T165" s="54"/>
      <c r="AT165" s="18" t="s">
        <v>189</v>
      </c>
      <c r="AU165" s="18" t="s">
        <v>87</v>
      </c>
    </row>
    <row r="166" spans="2:47" s="1" customFormat="1" ht="29.25">
      <c r="B166" s="33"/>
      <c r="D166" s="142" t="s">
        <v>191</v>
      </c>
      <c r="F166" s="148" t="s">
        <v>638</v>
      </c>
      <c r="I166" s="144"/>
      <c r="L166" s="33"/>
      <c r="M166" s="145"/>
      <c r="T166" s="54"/>
      <c r="AT166" s="18" t="s">
        <v>191</v>
      </c>
      <c r="AU166" s="18" t="s">
        <v>87</v>
      </c>
    </row>
    <row r="167" spans="2:65" s="1" customFormat="1" ht="24.2" customHeight="1">
      <c r="B167" s="128"/>
      <c r="C167" s="129" t="s">
        <v>277</v>
      </c>
      <c r="D167" s="129" t="s">
        <v>180</v>
      </c>
      <c r="E167" s="130" t="s">
        <v>639</v>
      </c>
      <c r="F167" s="131" t="s">
        <v>640</v>
      </c>
      <c r="G167" s="132" t="s">
        <v>332</v>
      </c>
      <c r="H167" s="133">
        <v>9.6</v>
      </c>
      <c r="I167" s="134"/>
      <c r="J167" s="135">
        <f>ROUND(I167*H167,2)</f>
        <v>0</v>
      </c>
      <c r="K167" s="131" t="s">
        <v>184</v>
      </c>
      <c r="L167" s="33"/>
      <c r="M167" s="136" t="s">
        <v>3</v>
      </c>
      <c r="N167" s="137" t="s">
        <v>48</v>
      </c>
      <c r="P167" s="138">
        <f>O167*H167</f>
        <v>0</v>
      </c>
      <c r="Q167" s="138">
        <v>0.105</v>
      </c>
      <c r="R167" s="138">
        <f>Q167*H167</f>
        <v>1.008</v>
      </c>
      <c r="S167" s="138">
        <v>0</v>
      </c>
      <c r="T167" s="139">
        <f>S167*H167</f>
        <v>0</v>
      </c>
      <c r="AR167" s="140" t="s">
        <v>185</v>
      </c>
      <c r="AT167" s="140" t="s">
        <v>180</v>
      </c>
      <c r="AU167" s="140" t="s">
        <v>87</v>
      </c>
      <c r="AY167" s="18" t="s">
        <v>177</v>
      </c>
      <c r="BE167" s="141">
        <f>IF(N167="základní",J167,0)</f>
        <v>0</v>
      </c>
      <c r="BF167" s="141">
        <f>IF(N167="snížená",J167,0)</f>
        <v>0</v>
      </c>
      <c r="BG167" s="141">
        <f>IF(N167="zákl. přenesená",J167,0)</f>
        <v>0</v>
      </c>
      <c r="BH167" s="141">
        <f>IF(N167="sníž. přenesená",J167,0)</f>
        <v>0</v>
      </c>
      <c r="BI167" s="141">
        <f>IF(N167="nulová",J167,0)</f>
        <v>0</v>
      </c>
      <c r="BJ167" s="18" t="s">
        <v>85</v>
      </c>
      <c r="BK167" s="141">
        <f>ROUND(I167*H167,2)</f>
        <v>0</v>
      </c>
      <c r="BL167" s="18" t="s">
        <v>185</v>
      </c>
      <c r="BM167" s="140" t="s">
        <v>641</v>
      </c>
    </row>
    <row r="168" spans="2:47" s="1" customFormat="1" ht="19.5">
      <c r="B168" s="33"/>
      <c r="D168" s="142" t="s">
        <v>187</v>
      </c>
      <c r="F168" s="143" t="s">
        <v>642</v>
      </c>
      <c r="I168" s="144"/>
      <c r="L168" s="33"/>
      <c r="M168" s="145"/>
      <c r="T168" s="54"/>
      <c r="AT168" s="18" t="s">
        <v>187</v>
      </c>
      <c r="AU168" s="18" t="s">
        <v>87</v>
      </c>
    </row>
    <row r="169" spans="2:47" s="1" customFormat="1" ht="11.25">
      <c r="B169" s="33"/>
      <c r="D169" s="146" t="s">
        <v>189</v>
      </c>
      <c r="F169" s="147" t="s">
        <v>643</v>
      </c>
      <c r="I169" s="144"/>
      <c r="L169" s="33"/>
      <c r="M169" s="145"/>
      <c r="T169" s="54"/>
      <c r="AT169" s="18" t="s">
        <v>189</v>
      </c>
      <c r="AU169" s="18" t="s">
        <v>87</v>
      </c>
    </row>
    <row r="170" spans="2:47" s="1" customFormat="1" ht="165.75">
      <c r="B170" s="33"/>
      <c r="D170" s="142" t="s">
        <v>191</v>
      </c>
      <c r="F170" s="148" t="s">
        <v>644</v>
      </c>
      <c r="I170" s="144"/>
      <c r="L170" s="33"/>
      <c r="M170" s="145"/>
      <c r="T170" s="54"/>
      <c r="AT170" s="18" t="s">
        <v>191</v>
      </c>
      <c r="AU170" s="18" t="s">
        <v>87</v>
      </c>
    </row>
    <row r="171" spans="2:51" s="13" customFormat="1" ht="11.25">
      <c r="B171" s="156"/>
      <c r="D171" s="142" t="s">
        <v>193</v>
      </c>
      <c r="E171" s="157" t="s">
        <v>3</v>
      </c>
      <c r="F171" s="158" t="s">
        <v>645</v>
      </c>
      <c r="H171" s="157" t="s">
        <v>3</v>
      </c>
      <c r="I171" s="159"/>
      <c r="L171" s="156"/>
      <c r="M171" s="160"/>
      <c r="T171" s="161"/>
      <c r="AT171" s="157" t="s">
        <v>193</v>
      </c>
      <c r="AU171" s="157" t="s">
        <v>87</v>
      </c>
      <c r="AV171" s="13" t="s">
        <v>85</v>
      </c>
      <c r="AW171" s="13" t="s">
        <v>36</v>
      </c>
      <c r="AX171" s="13" t="s">
        <v>77</v>
      </c>
      <c r="AY171" s="157" t="s">
        <v>177</v>
      </c>
    </row>
    <row r="172" spans="2:51" s="12" customFormat="1" ht="11.25">
      <c r="B172" s="149"/>
      <c r="D172" s="142" t="s">
        <v>193</v>
      </c>
      <c r="E172" s="150" t="s">
        <v>3</v>
      </c>
      <c r="F172" s="151" t="s">
        <v>646</v>
      </c>
      <c r="H172" s="152">
        <v>9.6</v>
      </c>
      <c r="I172" s="153"/>
      <c r="L172" s="149"/>
      <c r="M172" s="154"/>
      <c r="T172" s="155"/>
      <c r="AT172" s="150" t="s">
        <v>193</v>
      </c>
      <c r="AU172" s="150" t="s">
        <v>87</v>
      </c>
      <c r="AV172" s="12" t="s">
        <v>87</v>
      </c>
      <c r="AW172" s="12" t="s">
        <v>36</v>
      </c>
      <c r="AX172" s="12" t="s">
        <v>85</v>
      </c>
      <c r="AY172" s="150" t="s">
        <v>177</v>
      </c>
    </row>
    <row r="173" spans="2:63" s="11" customFormat="1" ht="22.9" customHeight="1">
      <c r="B173" s="116"/>
      <c r="D173" s="117" t="s">
        <v>76</v>
      </c>
      <c r="E173" s="126" t="s">
        <v>252</v>
      </c>
      <c r="F173" s="126" t="s">
        <v>329</v>
      </c>
      <c r="I173" s="119"/>
      <c r="J173" s="127">
        <f>BK173</f>
        <v>0</v>
      </c>
      <c r="L173" s="116"/>
      <c r="M173" s="121"/>
      <c r="P173" s="122">
        <f>SUM(P174:P225)</f>
        <v>0</v>
      </c>
      <c r="R173" s="122">
        <f>SUM(R174:R225)</f>
        <v>1.365672</v>
      </c>
      <c r="T173" s="123">
        <f>SUM(T174:T225)</f>
        <v>0</v>
      </c>
      <c r="AR173" s="117" t="s">
        <v>85</v>
      </c>
      <c r="AT173" s="124" t="s">
        <v>76</v>
      </c>
      <c r="AU173" s="124" t="s">
        <v>85</v>
      </c>
      <c r="AY173" s="117" t="s">
        <v>177</v>
      </c>
      <c r="BK173" s="125">
        <f>SUM(BK174:BK225)</f>
        <v>0</v>
      </c>
    </row>
    <row r="174" spans="2:65" s="1" customFormat="1" ht="33" customHeight="1">
      <c r="B174" s="128"/>
      <c r="C174" s="129" t="s">
        <v>283</v>
      </c>
      <c r="D174" s="129" t="s">
        <v>180</v>
      </c>
      <c r="E174" s="130" t="s">
        <v>647</v>
      </c>
      <c r="F174" s="131" t="s">
        <v>648</v>
      </c>
      <c r="G174" s="132" t="s">
        <v>332</v>
      </c>
      <c r="H174" s="133">
        <v>240</v>
      </c>
      <c r="I174" s="134"/>
      <c r="J174" s="135">
        <f>ROUND(I174*H174,2)</f>
        <v>0</v>
      </c>
      <c r="K174" s="131" t="s">
        <v>184</v>
      </c>
      <c r="L174" s="33"/>
      <c r="M174" s="136" t="s">
        <v>3</v>
      </c>
      <c r="N174" s="137" t="s">
        <v>48</v>
      </c>
      <c r="P174" s="138">
        <f>O174*H174</f>
        <v>0</v>
      </c>
      <c r="Q174" s="138">
        <v>0</v>
      </c>
      <c r="R174" s="138">
        <f>Q174*H174</f>
        <v>0</v>
      </c>
      <c r="S174" s="138">
        <v>0</v>
      </c>
      <c r="T174" s="139">
        <f>S174*H174</f>
        <v>0</v>
      </c>
      <c r="AR174" s="140" t="s">
        <v>185</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649</v>
      </c>
    </row>
    <row r="175" spans="2:47" s="1" customFormat="1" ht="29.25">
      <c r="B175" s="33"/>
      <c r="D175" s="142" t="s">
        <v>187</v>
      </c>
      <c r="F175" s="143" t="s">
        <v>650</v>
      </c>
      <c r="I175" s="144"/>
      <c r="L175" s="33"/>
      <c r="M175" s="145"/>
      <c r="T175" s="54"/>
      <c r="AT175" s="18" t="s">
        <v>187</v>
      </c>
      <c r="AU175" s="18" t="s">
        <v>87</v>
      </c>
    </row>
    <row r="176" spans="2:47" s="1" customFormat="1" ht="11.25">
      <c r="B176" s="33"/>
      <c r="D176" s="146" t="s">
        <v>189</v>
      </c>
      <c r="F176" s="147" t="s">
        <v>651</v>
      </c>
      <c r="I176" s="144"/>
      <c r="L176" s="33"/>
      <c r="M176" s="145"/>
      <c r="T176" s="54"/>
      <c r="AT176" s="18" t="s">
        <v>189</v>
      </c>
      <c r="AU176" s="18" t="s">
        <v>87</v>
      </c>
    </row>
    <row r="177" spans="2:47" s="1" customFormat="1" ht="78">
      <c r="B177" s="33"/>
      <c r="D177" s="142" t="s">
        <v>191</v>
      </c>
      <c r="F177" s="148" t="s">
        <v>652</v>
      </c>
      <c r="I177" s="144"/>
      <c r="L177" s="33"/>
      <c r="M177" s="145"/>
      <c r="T177" s="54"/>
      <c r="AT177" s="18" t="s">
        <v>191</v>
      </c>
      <c r="AU177" s="18" t="s">
        <v>87</v>
      </c>
    </row>
    <row r="178" spans="2:65" s="1" customFormat="1" ht="33" customHeight="1">
      <c r="B178" s="128"/>
      <c r="C178" s="129" t="s">
        <v>9</v>
      </c>
      <c r="D178" s="129" t="s">
        <v>180</v>
      </c>
      <c r="E178" s="130" t="s">
        <v>653</v>
      </c>
      <c r="F178" s="131" t="s">
        <v>654</v>
      </c>
      <c r="G178" s="132" t="s">
        <v>332</v>
      </c>
      <c r="H178" s="133">
        <v>7200</v>
      </c>
      <c r="I178" s="134"/>
      <c r="J178" s="135">
        <f>ROUND(I178*H178,2)</f>
        <v>0</v>
      </c>
      <c r="K178" s="131" t="s">
        <v>184</v>
      </c>
      <c r="L178" s="33"/>
      <c r="M178" s="136" t="s">
        <v>3</v>
      </c>
      <c r="N178" s="137" t="s">
        <v>48</v>
      </c>
      <c r="P178" s="138">
        <f>O178*H178</f>
        <v>0</v>
      </c>
      <c r="Q178" s="138">
        <v>0</v>
      </c>
      <c r="R178" s="138">
        <f>Q178*H178</f>
        <v>0</v>
      </c>
      <c r="S178" s="138">
        <v>0</v>
      </c>
      <c r="T178" s="139">
        <f>S178*H178</f>
        <v>0</v>
      </c>
      <c r="AR178" s="140" t="s">
        <v>185</v>
      </c>
      <c r="AT178" s="140" t="s">
        <v>180</v>
      </c>
      <c r="AU178" s="140" t="s">
        <v>87</v>
      </c>
      <c r="AY178" s="18" t="s">
        <v>177</v>
      </c>
      <c r="BE178" s="141">
        <f>IF(N178="základní",J178,0)</f>
        <v>0</v>
      </c>
      <c r="BF178" s="141">
        <f>IF(N178="snížená",J178,0)</f>
        <v>0</v>
      </c>
      <c r="BG178" s="141">
        <f>IF(N178="zákl. přenesená",J178,0)</f>
        <v>0</v>
      </c>
      <c r="BH178" s="141">
        <f>IF(N178="sníž. přenesená",J178,0)</f>
        <v>0</v>
      </c>
      <c r="BI178" s="141">
        <f>IF(N178="nulová",J178,0)</f>
        <v>0</v>
      </c>
      <c r="BJ178" s="18" t="s">
        <v>85</v>
      </c>
      <c r="BK178" s="141">
        <f>ROUND(I178*H178,2)</f>
        <v>0</v>
      </c>
      <c r="BL178" s="18" t="s">
        <v>185</v>
      </c>
      <c r="BM178" s="140" t="s">
        <v>655</v>
      </c>
    </row>
    <row r="179" spans="2:47" s="1" customFormat="1" ht="29.25">
      <c r="B179" s="33"/>
      <c r="D179" s="142" t="s">
        <v>187</v>
      </c>
      <c r="F179" s="143" t="s">
        <v>656</v>
      </c>
      <c r="I179" s="144"/>
      <c r="L179" s="33"/>
      <c r="M179" s="145"/>
      <c r="T179" s="54"/>
      <c r="AT179" s="18" t="s">
        <v>187</v>
      </c>
      <c r="AU179" s="18" t="s">
        <v>87</v>
      </c>
    </row>
    <row r="180" spans="2:47" s="1" customFormat="1" ht="11.25">
      <c r="B180" s="33"/>
      <c r="D180" s="146" t="s">
        <v>189</v>
      </c>
      <c r="F180" s="147" t="s">
        <v>657</v>
      </c>
      <c r="I180" s="144"/>
      <c r="L180" s="33"/>
      <c r="M180" s="145"/>
      <c r="T180" s="54"/>
      <c r="AT180" s="18" t="s">
        <v>189</v>
      </c>
      <c r="AU180" s="18" t="s">
        <v>87</v>
      </c>
    </row>
    <row r="181" spans="2:47" s="1" customFormat="1" ht="78">
      <c r="B181" s="33"/>
      <c r="D181" s="142" t="s">
        <v>191</v>
      </c>
      <c r="F181" s="148" t="s">
        <v>652</v>
      </c>
      <c r="I181" s="144"/>
      <c r="L181" s="33"/>
      <c r="M181" s="145"/>
      <c r="T181" s="54"/>
      <c r="AT181" s="18" t="s">
        <v>191</v>
      </c>
      <c r="AU181" s="18" t="s">
        <v>87</v>
      </c>
    </row>
    <row r="182" spans="2:51" s="12" customFormat="1" ht="11.25">
      <c r="B182" s="149"/>
      <c r="D182" s="142" t="s">
        <v>193</v>
      </c>
      <c r="E182" s="150" t="s">
        <v>3</v>
      </c>
      <c r="F182" s="151" t="s">
        <v>658</v>
      </c>
      <c r="H182" s="152">
        <v>7200</v>
      </c>
      <c r="I182" s="153"/>
      <c r="L182" s="149"/>
      <c r="M182" s="154"/>
      <c r="T182" s="155"/>
      <c r="AT182" s="150" t="s">
        <v>193</v>
      </c>
      <c r="AU182" s="150" t="s">
        <v>87</v>
      </c>
      <c r="AV182" s="12" t="s">
        <v>87</v>
      </c>
      <c r="AW182" s="12" t="s">
        <v>36</v>
      </c>
      <c r="AX182" s="12" t="s">
        <v>85</v>
      </c>
      <c r="AY182" s="150" t="s">
        <v>177</v>
      </c>
    </row>
    <row r="183" spans="2:65" s="1" customFormat="1" ht="33" customHeight="1">
      <c r="B183" s="128"/>
      <c r="C183" s="129" t="s">
        <v>237</v>
      </c>
      <c r="D183" s="129" t="s">
        <v>180</v>
      </c>
      <c r="E183" s="130" t="s">
        <v>659</v>
      </c>
      <c r="F183" s="131" t="s">
        <v>660</v>
      </c>
      <c r="G183" s="132" t="s">
        <v>332</v>
      </c>
      <c r="H183" s="133">
        <v>240</v>
      </c>
      <c r="I183" s="134"/>
      <c r="J183" s="135">
        <f>ROUND(I183*H183,2)</f>
        <v>0</v>
      </c>
      <c r="K183" s="131" t="s">
        <v>184</v>
      </c>
      <c r="L183" s="33"/>
      <c r="M183" s="136" t="s">
        <v>3</v>
      </c>
      <c r="N183" s="137" t="s">
        <v>48</v>
      </c>
      <c r="P183" s="138">
        <f>O183*H183</f>
        <v>0</v>
      </c>
      <c r="Q183" s="138">
        <v>0</v>
      </c>
      <c r="R183" s="138">
        <f>Q183*H183</f>
        <v>0</v>
      </c>
      <c r="S183" s="138">
        <v>0</v>
      </c>
      <c r="T183" s="139">
        <f>S183*H183</f>
        <v>0</v>
      </c>
      <c r="AR183" s="140" t="s">
        <v>185</v>
      </c>
      <c r="AT183" s="140" t="s">
        <v>180</v>
      </c>
      <c r="AU183" s="140" t="s">
        <v>87</v>
      </c>
      <c r="AY183" s="18" t="s">
        <v>177</v>
      </c>
      <c r="BE183" s="141">
        <f>IF(N183="základní",J183,0)</f>
        <v>0</v>
      </c>
      <c r="BF183" s="141">
        <f>IF(N183="snížená",J183,0)</f>
        <v>0</v>
      </c>
      <c r="BG183" s="141">
        <f>IF(N183="zákl. přenesená",J183,0)</f>
        <v>0</v>
      </c>
      <c r="BH183" s="141">
        <f>IF(N183="sníž. přenesená",J183,0)</f>
        <v>0</v>
      </c>
      <c r="BI183" s="141">
        <f>IF(N183="nulová",J183,0)</f>
        <v>0</v>
      </c>
      <c r="BJ183" s="18" t="s">
        <v>85</v>
      </c>
      <c r="BK183" s="141">
        <f>ROUND(I183*H183,2)</f>
        <v>0</v>
      </c>
      <c r="BL183" s="18" t="s">
        <v>185</v>
      </c>
      <c r="BM183" s="140" t="s">
        <v>661</v>
      </c>
    </row>
    <row r="184" spans="2:47" s="1" customFormat="1" ht="29.25">
      <c r="B184" s="33"/>
      <c r="D184" s="142" t="s">
        <v>187</v>
      </c>
      <c r="F184" s="143" t="s">
        <v>662</v>
      </c>
      <c r="I184" s="144"/>
      <c r="L184" s="33"/>
      <c r="M184" s="145"/>
      <c r="T184" s="54"/>
      <c r="AT184" s="18" t="s">
        <v>187</v>
      </c>
      <c r="AU184" s="18" t="s">
        <v>87</v>
      </c>
    </row>
    <row r="185" spans="2:47" s="1" customFormat="1" ht="11.25">
      <c r="B185" s="33"/>
      <c r="D185" s="146" t="s">
        <v>189</v>
      </c>
      <c r="F185" s="147" t="s">
        <v>663</v>
      </c>
      <c r="I185" s="144"/>
      <c r="L185" s="33"/>
      <c r="M185" s="145"/>
      <c r="T185" s="54"/>
      <c r="AT185" s="18" t="s">
        <v>189</v>
      </c>
      <c r="AU185" s="18" t="s">
        <v>87</v>
      </c>
    </row>
    <row r="186" spans="2:47" s="1" customFormat="1" ht="39">
      <c r="B186" s="33"/>
      <c r="D186" s="142" t="s">
        <v>191</v>
      </c>
      <c r="F186" s="148" t="s">
        <v>664</v>
      </c>
      <c r="I186" s="144"/>
      <c r="L186" s="33"/>
      <c r="M186" s="145"/>
      <c r="T186" s="54"/>
      <c r="AT186" s="18" t="s">
        <v>191</v>
      </c>
      <c r="AU186" s="18" t="s">
        <v>87</v>
      </c>
    </row>
    <row r="187" spans="2:65" s="1" customFormat="1" ht="16.5" customHeight="1">
      <c r="B187" s="128"/>
      <c r="C187" s="129" t="s">
        <v>302</v>
      </c>
      <c r="D187" s="129" t="s">
        <v>180</v>
      </c>
      <c r="E187" s="130" t="s">
        <v>665</v>
      </c>
      <c r="F187" s="131" t="s">
        <v>666</v>
      </c>
      <c r="G187" s="132" t="s">
        <v>332</v>
      </c>
      <c r="H187" s="133">
        <v>240</v>
      </c>
      <c r="I187" s="134"/>
      <c r="J187" s="135">
        <f>ROUND(I187*H187,2)</f>
        <v>0</v>
      </c>
      <c r="K187" s="131" t="s">
        <v>184</v>
      </c>
      <c r="L187" s="33"/>
      <c r="M187" s="136" t="s">
        <v>3</v>
      </c>
      <c r="N187" s="137" t="s">
        <v>48</v>
      </c>
      <c r="P187" s="138">
        <f>O187*H187</f>
        <v>0</v>
      </c>
      <c r="Q187" s="138">
        <v>0</v>
      </c>
      <c r="R187" s="138">
        <f>Q187*H187</f>
        <v>0</v>
      </c>
      <c r="S187" s="138">
        <v>0</v>
      </c>
      <c r="T187" s="139">
        <f>S187*H187</f>
        <v>0</v>
      </c>
      <c r="AR187" s="140" t="s">
        <v>185</v>
      </c>
      <c r="AT187" s="140" t="s">
        <v>180</v>
      </c>
      <c r="AU187" s="140" t="s">
        <v>87</v>
      </c>
      <c r="AY187" s="18" t="s">
        <v>177</v>
      </c>
      <c r="BE187" s="141">
        <f>IF(N187="základní",J187,0)</f>
        <v>0</v>
      </c>
      <c r="BF187" s="141">
        <f>IF(N187="snížená",J187,0)</f>
        <v>0</v>
      </c>
      <c r="BG187" s="141">
        <f>IF(N187="zákl. přenesená",J187,0)</f>
        <v>0</v>
      </c>
      <c r="BH187" s="141">
        <f>IF(N187="sníž. přenesená",J187,0)</f>
        <v>0</v>
      </c>
      <c r="BI187" s="141">
        <f>IF(N187="nulová",J187,0)</f>
        <v>0</v>
      </c>
      <c r="BJ187" s="18" t="s">
        <v>85</v>
      </c>
      <c r="BK187" s="141">
        <f>ROUND(I187*H187,2)</f>
        <v>0</v>
      </c>
      <c r="BL187" s="18" t="s">
        <v>185</v>
      </c>
      <c r="BM187" s="140" t="s">
        <v>667</v>
      </c>
    </row>
    <row r="188" spans="2:47" s="1" customFormat="1" ht="19.5">
      <c r="B188" s="33"/>
      <c r="D188" s="142" t="s">
        <v>187</v>
      </c>
      <c r="F188" s="143" t="s">
        <v>668</v>
      </c>
      <c r="I188" s="144"/>
      <c r="L188" s="33"/>
      <c r="M188" s="145"/>
      <c r="T188" s="54"/>
      <c r="AT188" s="18" t="s">
        <v>187</v>
      </c>
      <c r="AU188" s="18" t="s">
        <v>87</v>
      </c>
    </row>
    <row r="189" spans="2:47" s="1" customFormat="1" ht="11.25">
      <c r="B189" s="33"/>
      <c r="D189" s="146" t="s">
        <v>189</v>
      </c>
      <c r="F189" s="147" t="s">
        <v>669</v>
      </c>
      <c r="I189" s="144"/>
      <c r="L189" s="33"/>
      <c r="M189" s="145"/>
      <c r="T189" s="54"/>
      <c r="AT189" s="18" t="s">
        <v>189</v>
      </c>
      <c r="AU189" s="18" t="s">
        <v>87</v>
      </c>
    </row>
    <row r="190" spans="2:47" s="1" customFormat="1" ht="39">
      <c r="B190" s="33"/>
      <c r="D190" s="142" t="s">
        <v>191</v>
      </c>
      <c r="F190" s="148" t="s">
        <v>670</v>
      </c>
      <c r="I190" s="144"/>
      <c r="L190" s="33"/>
      <c r="M190" s="145"/>
      <c r="T190" s="54"/>
      <c r="AT190" s="18" t="s">
        <v>191</v>
      </c>
      <c r="AU190" s="18" t="s">
        <v>87</v>
      </c>
    </row>
    <row r="191" spans="2:65" s="1" customFormat="1" ht="21.75" customHeight="1">
      <c r="B191" s="128"/>
      <c r="C191" s="129" t="s">
        <v>315</v>
      </c>
      <c r="D191" s="129" t="s">
        <v>180</v>
      </c>
      <c r="E191" s="130" t="s">
        <v>671</v>
      </c>
      <c r="F191" s="131" t="s">
        <v>672</v>
      </c>
      <c r="G191" s="132" t="s">
        <v>332</v>
      </c>
      <c r="H191" s="133">
        <v>7200</v>
      </c>
      <c r="I191" s="134"/>
      <c r="J191" s="135">
        <f>ROUND(I191*H191,2)</f>
        <v>0</v>
      </c>
      <c r="K191" s="131" t="s">
        <v>184</v>
      </c>
      <c r="L191" s="33"/>
      <c r="M191" s="136" t="s">
        <v>3</v>
      </c>
      <c r="N191" s="137" t="s">
        <v>48</v>
      </c>
      <c r="P191" s="138">
        <f>O191*H191</f>
        <v>0</v>
      </c>
      <c r="Q191" s="138">
        <v>0</v>
      </c>
      <c r="R191" s="138">
        <f>Q191*H191</f>
        <v>0</v>
      </c>
      <c r="S191" s="138">
        <v>0</v>
      </c>
      <c r="T191" s="139">
        <f>S191*H191</f>
        <v>0</v>
      </c>
      <c r="AR191" s="140" t="s">
        <v>185</v>
      </c>
      <c r="AT191" s="140" t="s">
        <v>180</v>
      </c>
      <c r="AU191" s="140" t="s">
        <v>87</v>
      </c>
      <c r="AY191" s="18" t="s">
        <v>177</v>
      </c>
      <c r="BE191" s="141">
        <f>IF(N191="základní",J191,0)</f>
        <v>0</v>
      </c>
      <c r="BF191" s="141">
        <f>IF(N191="snížená",J191,0)</f>
        <v>0</v>
      </c>
      <c r="BG191" s="141">
        <f>IF(N191="zákl. přenesená",J191,0)</f>
        <v>0</v>
      </c>
      <c r="BH191" s="141">
        <f>IF(N191="sníž. přenesená",J191,0)</f>
        <v>0</v>
      </c>
      <c r="BI191" s="141">
        <f>IF(N191="nulová",J191,0)</f>
        <v>0</v>
      </c>
      <c r="BJ191" s="18" t="s">
        <v>85</v>
      </c>
      <c r="BK191" s="141">
        <f>ROUND(I191*H191,2)</f>
        <v>0</v>
      </c>
      <c r="BL191" s="18" t="s">
        <v>185</v>
      </c>
      <c r="BM191" s="140" t="s">
        <v>673</v>
      </c>
    </row>
    <row r="192" spans="2:47" s="1" customFormat="1" ht="19.5">
      <c r="B192" s="33"/>
      <c r="D192" s="142" t="s">
        <v>187</v>
      </c>
      <c r="F192" s="143" t="s">
        <v>674</v>
      </c>
      <c r="I192" s="144"/>
      <c r="L192" s="33"/>
      <c r="M192" s="145"/>
      <c r="T192" s="54"/>
      <c r="AT192" s="18" t="s">
        <v>187</v>
      </c>
      <c r="AU192" s="18" t="s">
        <v>87</v>
      </c>
    </row>
    <row r="193" spans="2:47" s="1" customFormat="1" ht="11.25">
      <c r="B193" s="33"/>
      <c r="D193" s="146" t="s">
        <v>189</v>
      </c>
      <c r="F193" s="147" t="s">
        <v>675</v>
      </c>
      <c r="I193" s="144"/>
      <c r="L193" s="33"/>
      <c r="M193" s="145"/>
      <c r="T193" s="54"/>
      <c r="AT193" s="18" t="s">
        <v>189</v>
      </c>
      <c r="AU193" s="18" t="s">
        <v>87</v>
      </c>
    </row>
    <row r="194" spans="2:47" s="1" customFormat="1" ht="39">
      <c r="B194" s="33"/>
      <c r="D194" s="142" t="s">
        <v>191</v>
      </c>
      <c r="F194" s="148" t="s">
        <v>670</v>
      </c>
      <c r="I194" s="144"/>
      <c r="L194" s="33"/>
      <c r="M194" s="145"/>
      <c r="T194" s="54"/>
      <c r="AT194" s="18" t="s">
        <v>191</v>
      </c>
      <c r="AU194" s="18" t="s">
        <v>87</v>
      </c>
    </row>
    <row r="195" spans="2:65" s="1" customFormat="1" ht="21.75" customHeight="1">
      <c r="B195" s="128"/>
      <c r="C195" s="129" t="s">
        <v>461</v>
      </c>
      <c r="D195" s="129" t="s">
        <v>180</v>
      </c>
      <c r="E195" s="130" t="s">
        <v>676</v>
      </c>
      <c r="F195" s="131" t="s">
        <v>677</v>
      </c>
      <c r="G195" s="132" t="s">
        <v>332</v>
      </c>
      <c r="H195" s="133">
        <v>240</v>
      </c>
      <c r="I195" s="134"/>
      <c r="J195" s="135">
        <f>ROUND(I195*H195,2)</f>
        <v>0</v>
      </c>
      <c r="K195" s="131" t="s">
        <v>184</v>
      </c>
      <c r="L195" s="33"/>
      <c r="M195" s="136" t="s">
        <v>3</v>
      </c>
      <c r="N195" s="137" t="s">
        <v>48</v>
      </c>
      <c r="P195" s="138">
        <f>O195*H195</f>
        <v>0</v>
      </c>
      <c r="Q195" s="138">
        <v>0</v>
      </c>
      <c r="R195" s="138">
        <f>Q195*H195</f>
        <v>0</v>
      </c>
      <c r="S195" s="138">
        <v>0</v>
      </c>
      <c r="T195" s="139">
        <f>S195*H195</f>
        <v>0</v>
      </c>
      <c r="AR195" s="140" t="s">
        <v>185</v>
      </c>
      <c r="AT195" s="140" t="s">
        <v>180</v>
      </c>
      <c r="AU195" s="140" t="s">
        <v>87</v>
      </c>
      <c r="AY195" s="18" t="s">
        <v>177</v>
      </c>
      <c r="BE195" s="141">
        <f>IF(N195="základní",J195,0)</f>
        <v>0</v>
      </c>
      <c r="BF195" s="141">
        <f>IF(N195="snížená",J195,0)</f>
        <v>0</v>
      </c>
      <c r="BG195" s="141">
        <f>IF(N195="zákl. přenesená",J195,0)</f>
        <v>0</v>
      </c>
      <c r="BH195" s="141">
        <f>IF(N195="sníž. přenesená",J195,0)</f>
        <v>0</v>
      </c>
      <c r="BI195" s="141">
        <f>IF(N195="nulová",J195,0)</f>
        <v>0</v>
      </c>
      <c r="BJ195" s="18" t="s">
        <v>85</v>
      </c>
      <c r="BK195" s="141">
        <f>ROUND(I195*H195,2)</f>
        <v>0</v>
      </c>
      <c r="BL195" s="18" t="s">
        <v>185</v>
      </c>
      <c r="BM195" s="140" t="s">
        <v>678</v>
      </c>
    </row>
    <row r="196" spans="2:47" s="1" customFormat="1" ht="19.5">
      <c r="B196" s="33"/>
      <c r="D196" s="142" t="s">
        <v>187</v>
      </c>
      <c r="F196" s="143" t="s">
        <v>679</v>
      </c>
      <c r="I196" s="144"/>
      <c r="L196" s="33"/>
      <c r="M196" s="145"/>
      <c r="T196" s="54"/>
      <c r="AT196" s="18" t="s">
        <v>187</v>
      </c>
      <c r="AU196" s="18" t="s">
        <v>87</v>
      </c>
    </row>
    <row r="197" spans="2:47" s="1" customFormat="1" ht="11.25">
      <c r="B197" s="33"/>
      <c r="D197" s="146" t="s">
        <v>189</v>
      </c>
      <c r="F197" s="147" t="s">
        <v>680</v>
      </c>
      <c r="I197" s="144"/>
      <c r="L197" s="33"/>
      <c r="M197" s="145"/>
      <c r="T197" s="54"/>
      <c r="AT197" s="18" t="s">
        <v>189</v>
      </c>
      <c r="AU197" s="18" t="s">
        <v>87</v>
      </c>
    </row>
    <row r="198" spans="2:65" s="1" customFormat="1" ht="33" customHeight="1">
      <c r="B198" s="128"/>
      <c r="C198" s="129" t="s">
        <v>467</v>
      </c>
      <c r="D198" s="129" t="s">
        <v>180</v>
      </c>
      <c r="E198" s="130" t="s">
        <v>681</v>
      </c>
      <c r="F198" s="131" t="s">
        <v>682</v>
      </c>
      <c r="G198" s="132" t="s">
        <v>332</v>
      </c>
      <c r="H198" s="133">
        <v>144</v>
      </c>
      <c r="I198" s="134"/>
      <c r="J198" s="135">
        <f>ROUND(I198*H198,2)</f>
        <v>0</v>
      </c>
      <c r="K198" s="131" t="s">
        <v>184</v>
      </c>
      <c r="L198" s="33"/>
      <c r="M198" s="136" t="s">
        <v>3</v>
      </c>
      <c r="N198" s="137" t="s">
        <v>48</v>
      </c>
      <c r="P198" s="138">
        <f>O198*H198</f>
        <v>0</v>
      </c>
      <c r="Q198" s="138">
        <v>0.00013</v>
      </c>
      <c r="R198" s="138">
        <f>Q198*H198</f>
        <v>0.018719999999999997</v>
      </c>
      <c r="S198" s="138">
        <v>0</v>
      </c>
      <c r="T198" s="139">
        <f>S198*H198</f>
        <v>0</v>
      </c>
      <c r="AR198" s="140" t="s">
        <v>185</v>
      </c>
      <c r="AT198" s="140" t="s">
        <v>180</v>
      </c>
      <c r="AU198" s="140" t="s">
        <v>87</v>
      </c>
      <c r="AY198" s="18" t="s">
        <v>177</v>
      </c>
      <c r="BE198" s="141">
        <f>IF(N198="základní",J198,0)</f>
        <v>0</v>
      </c>
      <c r="BF198" s="141">
        <f>IF(N198="snížená",J198,0)</f>
        <v>0</v>
      </c>
      <c r="BG198" s="141">
        <f>IF(N198="zákl. přenesená",J198,0)</f>
        <v>0</v>
      </c>
      <c r="BH198" s="141">
        <f>IF(N198="sníž. přenesená",J198,0)</f>
        <v>0</v>
      </c>
      <c r="BI198" s="141">
        <f>IF(N198="nulová",J198,0)</f>
        <v>0</v>
      </c>
      <c r="BJ198" s="18" t="s">
        <v>85</v>
      </c>
      <c r="BK198" s="141">
        <f>ROUND(I198*H198,2)</f>
        <v>0</v>
      </c>
      <c r="BL198" s="18" t="s">
        <v>185</v>
      </c>
      <c r="BM198" s="140" t="s">
        <v>683</v>
      </c>
    </row>
    <row r="199" spans="2:47" s="1" customFormat="1" ht="19.5">
      <c r="B199" s="33"/>
      <c r="D199" s="142" t="s">
        <v>187</v>
      </c>
      <c r="F199" s="143" t="s">
        <v>684</v>
      </c>
      <c r="I199" s="144"/>
      <c r="L199" s="33"/>
      <c r="M199" s="145"/>
      <c r="T199" s="54"/>
      <c r="AT199" s="18" t="s">
        <v>187</v>
      </c>
      <c r="AU199" s="18" t="s">
        <v>87</v>
      </c>
    </row>
    <row r="200" spans="2:47" s="1" customFormat="1" ht="11.25">
      <c r="B200" s="33"/>
      <c r="D200" s="146" t="s">
        <v>189</v>
      </c>
      <c r="F200" s="147" t="s">
        <v>685</v>
      </c>
      <c r="I200" s="144"/>
      <c r="L200" s="33"/>
      <c r="M200" s="145"/>
      <c r="T200" s="54"/>
      <c r="AT200" s="18" t="s">
        <v>189</v>
      </c>
      <c r="AU200" s="18" t="s">
        <v>87</v>
      </c>
    </row>
    <row r="201" spans="2:47" s="1" customFormat="1" ht="78">
      <c r="B201" s="33"/>
      <c r="D201" s="142" t="s">
        <v>191</v>
      </c>
      <c r="F201" s="148" t="s">
        <v>336</v>
      </c>
      <c r="I201" s="144"/>
      <c r="L201" s="33"/>
      <c r="M201" s="145"/>
      <c r="T201" s="54"/>
      <c r="AT201" s="18" t="s">
        <v>191</v>
      </c>
      <c r="AU201" s="18" t="s">
        <v>87</v>
      </c>
    </row>
    <row r="202" spans="2:51" s="12" customFormat="1" ht="11.25">
      <c r="B202" s="149"/>
      <c r="D202" s="142" t="s">
        <v>193</v>
      </c>
      <c r="E202" s="150" t="s">
        <v>3</v>
      </c>
      <c r="F202" s="151" t="s">
        <v>686</v>
      </c>
      <c r="H202" s="152">
        <v>144</v>
      </c>
      <c r="I202" s="153"/>
      <c r="L202" s="149"/>
      <c r="M202" s="154"/>
      <c r="T202" s="155"/>
      <c r="AT202" s="150" t="s">
        <v>193</v>
      </c>
      <c r="AU202" s="150" t="s">
        <v>87</v>
      </c>
      <c r="AV202" s="12" t="s">
        <v>87</v>
      </c>
      <c r="AW202" s="12" t="s">
        <v>36</v>
      </c>
      <c r="AX202" s="12" t="s">
        <v>77</v>
      </c>
      <c r="AY202" s="150" t="s">
        <v>177</v>
      </c>
    </row>
    <row r="203" spans="2:51" s="15" customFormat="1" ht="11.25">
      <c r="B203" s="169"/>
      <c r="D203" s="142" t="s">
        <v>193</v>
      </c>
      <c r="E203" s="170" t="s">
        <v>3</v>
      </c>
      <c r="F203" s="171" t="s">
        <v>201</v>
      </c>
      <c r="H203" s="172">
        <v>144</v>
      </c>
      <c r="I203" s="173"/>
      <c r="L203" s="169"/>
      <c r="M203" s="174"/>
      <c r="T203" s="175"/>
      <c r="AT203" s="170" t="s">
        <v>193</v>
      </c>
      <c r="AU203" s="170" t="s">
        <v>87</v>
      </c>
      <c r="AV203" s="15" t="s">
        <v>185</v>
      </c>
      <c r="AW203" s="15" t="s">
        <v>36</v>
      </c>
      <c r="AX203" s="15" t="s">
        <v>85</v>
      </c>
      <c r="AY203" s="170" t="s">
        <v>177</v>
      </c>
    </row>
    <row r="204" spans="2:65" s="1" customFormat="1" ht="24.2" customHeight="1">
      <c r="B204" s="128"/>
      <c r="C204" s="129" t="s">
        <v>8</v>
      </c>
      <c r="D204" s="129" t="s">
        <v>180</v>
      </c>
      <c r="E204" s="130" t="s">
        <v>339</v>
      </c>
      <c r="F204" s="131" t="s">
        <v>340</v>
      </c>
      <c r="G204" s="132" t="s">
        <v>332</v>
      </c>
      <c r="H204" s="133">
        <v>144</v>
      </c>
      <c r="I204" s="134"/>
      <c r="J204" s="135">
        <f>ROUND(I204*H204,2)</f>
        <v>0</v>
      </c>
      <c r="K204" s="131" t="s">
        <v>184</v>
      </c>
      <c r="L204" s="33"/>
      <c r="M204" s="136" t="s">
        <v>3</v>
      </c>
      <c r="N204" s="137" t="s">
        <v>48</v>
      </c>
      <c r="P204" s="138">
        <f>O204*H204</f>
        <v>0</v>
      </c>
      <c r="Q204" s="138">
        <v>3.5E-05</v>
      </c>
      <c r="R204" s="138">
        <f>Q204*H204</f>
        <v>0.005039999999999999</v>
      </c>
      <c r="S204" s="138">
        <v>0</v>
      </c>
      <c r="T204" s="139">
        <f>S204*H204</f>
        <v>0</v>
      </c>
      <c r="AR204" s="140" t="s">
        <v>185</v>
      </c>
      <c r="AT204" s="140" t="s">
        <v>180</v>
      </c>
      <c r="AU204" s="140" t="s">
        <v>87</v>
      </c>
      <c r="AY204" s="18" t="s">
        <v>177</v>
      </c>
      <c r="BE204" s="141">
        <f>IF(N204="základní",J204,0)</f>
        <v>0</v>
      </c>
      <c r="BF204" s="141">
        <f>IF(N204="snížená",J204,0)</f>
        <v>0</v>
      </c>
      <c r="BG204" s="141">
        <f>IF(N204="zákl. přenesená",J204,0)</f>
        <v>0</v>
      </c>
      <c r="BH204" s="141">
        <f>IF(N204="sníž. přenesená",J204,0)</f>
        <v>0</v>
      </c>
      <c r="BI204" s="141">
        <f>IF(N204="nulová",J204,0)</f>
        <v>0</v>
      </c>
      <c r="BJ204" s="18" t="s">
        <v>85</v>
      </c>
      <c r="BK204" s="141">
        <f>ROUND(I204*H204,2)</f>
        <v>0</v>
      </c>
      <c r="BL204" s="18" t="s">
        <v>185</v>
      </c>
      <c r="BM204" s="140" t="s">
        <v>687</v>
      </c>
    </row>
    <row r="205" spans="2:47" s="1" customFormat="1" ht="19.5">
      <c r="B205" s="33"/>
      <c r="D205" s="142" t="s">
        <v>187</v>
      </c>
      <c r="F205" s="143" t="s">
        <v>342</v>
      </c>
      <c r="I205" s="144"/>
      <c r="L205" s="33"/>
      <c r="M205" s="145"/>
      <c r="T205" s="54"/>
      <c r="AT205" s="18" t="s">
        <v>187</v>
      </c>
      <c r="AU205" s="18" t="s">
        <v>87</v>
      </c>
    </row>
    <row r="206" spans="2:47" s="1" customFormat="1" ht="11.25">
      <c r="B206" s="33"/>
      <c r="D206" s="146" t="s">
        <v>189</v>
      </c>
      <c r="F206" s="147" t="s">
        <v>343</v>
      </c>
      <c r="I206" s="144"/>
      <c r="L206" s="33"/>
      <c r="M206" s="145"/>
      <c r="T206" s="54"/>
      <c r="AT206" s="18" t="s">
        <v>189</v>
      </c>
      <c r="AU206" s="18" t="s">
        <v>87</v>
      </c>
    </row>
    <row r="207" spans="2:47" s="1" customFormat="1" ht="273">
      <c r="B207" s="33"/>
      <c r="D207" s="142" t="s">
        <v>191</v>
      </c>
      <c r="F207" s="148" t="s">
        <v>344</v>
      </c>
      <c r="I207" s="144"/>
      <c r="L207" s="33"/>
      <c r="M207" s="145"/>
      <c r="T207" s="54"/>
      <c r="AT207" s="18" t="s">
        <v>191</v>
      </c>
      <c r="AU207" s="18" t="s">
        <v>87</v>
      </c>
    </row>
    <row r="208" spans="2:65" s="1" customFormat="1" ht="16.5" customHeight="1">
      <c r="B208" s="128"/>
      <c r="C208" s="129" t="s">
        <v>483</v>
      </c>
      <c r="D208" s="129" t="s">
        <v>180</v>
      </c>
      <c r="E208" s="130" t="s">
        <v>688</v>
      </c>
      <c r="F208" s="131" t="s">
        <v>689</v>
      </c>
      <c r="G208" s="132" t="s">
        <v>332</v>
      </c>
      <c r="H208" s="133">
        <v>24</v>
      </c>
      <c r="I208" s="134"/>
      <c r="J208" s="135">
        <f>ROUND(I208*H208,2)</f>
        <v>0</v>
      </c>
      <c r="K208" s="131" t="s">
        <v>184</v>
      </c>
      <c r="L208" s="33"/>
      <c r="M208" s="136" t="s">
        <v>3</v>
      </c>
      <c r="N208" s="137" t="s">
        <v>48</v>
      </c>
      <c r="P208" s="138">
        <f>O208*H208</f>
        <v>0</v>
      </c>
      <c r="Q208" s="138">
        <v>0</v>
      </c>
      <c r="R208" s="138">
        <f>Q208*H208</f>
        <v>0</v>
      </c>
      <c r="S208" s="138">
        <v>0</v>
      </c>
      <c r="T208" s="139">
        <f>S208*H208</f>
        <v>0</v>
      </c>
      <c r="AR208" s="140" t="s">
        <v>185</v>
      </c>
      <c r="AT208" s="140" t="s">
        <v>180</v>
      </c>
      <c r="AU208" s="140" t="s">
        <v>87</v>
      </c>
      <c r="AY208" s="18" t="s">
        <v>177</v>
      </c>
      <c r="BE208" s="141">
        <f>IF(N208="základní",J208,0)</f>
        <v>0</v>
      </c>
      <c r="BF208" s="141">
        <f>IF(N208="snížená",J208,0)</f>
        <v>0</v>
      </c>
      <c r="BG208" s="141">
        <f>IF(N208="zákl. přenesená",J208,0)</f>
        <v>0</v>
      </c>
      <c r="BH208" s="141">
        <f>IF(N208="sníž. přenesená",J208,0)</f>
        <v>0</v>
      </c>
      <c r="BI208" s="141">
        <f>IF(N208="nulová",J208,0)</f>
        <v>0</v>
      </c>
      <c r="BJ208" s="18" t="s">
        <v>85</v>
      </c>
      <c r="BK208" s="141">
        <f>ROUND(I208*H208,2)</f>
        <v>0</v>
      </c>
      <c r="BL208" s="18" t="s">
        <v>185</v>
      </c>
      <c r="BM208" s="140" t="s">
        <v>690</v>
      </c>
    </row>
    <row r="209" spans="2:47" s="1" customFormat="1" ht="19.5">
      <c r="B209" s="33"/>
      <c r="D209" s="142" t="s">
        <v>187</v>
      </c>
      <c r="F209" s="143" t="s">
        <v>691</v>
      </c>
      <c r="I209" s="144"/>
      <c r="L209" s="33"/>
      <c r="M209" s="145"/>
      <c r="T209" s="54"/>
      <c r="AT209" s="18" t="s">
        <v>187</v>
      </c>
      <c r="AU209" s="18" t="s">
        <v>87</v>
      </c>
    </row>
    <row r="210" spans="2:47" s="1" customFormat="1" ht="11.25">
      <c r="B210" s="33"/>
      <c r="D210" s="146" t="s">
        <v>189</v>
      </c>
      <c r="F210" s="147" t="s">
        <v>692</v>
      </c>
      <c r="I210" s="144"/>
      <c r="L210" s="33"/>
      <c r="M210" s="145"/>
      <c r="T210" s="54"/>
      <c r="AT210" s="18" t="s">
        <v>189</v>
      </c>
      <c r="AU210" s="18" t="s">
        <v>87</v>
      </c>
    </row>
    <row r="211" spans="2:47" s="1" customFormat="1" ht="312">
      <c r="B211" s="33"/>
      <c r="D211" s="142" t="s">
        <v>191</v>
      </c>
      <c r="F211" s="148" t="s">
        <v>693</v>
      </c>
      <c r="I211" s="144"/>
      <c r="L211" s="33"/>
      <c r="M211" s="145"/>
      <c r="T211" s="54"/>
      <c r="AT211" s="18" t="s">
        <v>191</v>
      </c>
      <c r="AU211" s="18" t="s">
        <v>87</v>
      </c>
    </row>
    <row r="212" spans="2:51" s="12" customFormat="1" ht="11.25">
      <c r="B212" s="149"/>
      <c r="D212" s="142" t="s">
        <v>193</v>
      </c>
      <c r="E212" s="150" t="s">
        <v>3</v>
      </c>
      <c r="F212" s="151" t="s">
        <v>694</v>
      </c>
      <c r="H212" s="152">
        <v>24</v>
      </c>
      <c r="I212" s="153"/>
      <c r="L212" s="149"/>
      <c r="M212" s="154"/>
      <c r="T212" s="155"/>
      <c r="AT212" s="150" t="s">
        <v>193</v>
      </c>
      <c r="AU212" s="150" t="s">
        <v>87</v>
      </c>
      <c r="AV212" s="12" t="s">
        <v>87</v>
      </c>
      <c r="AW212" s="12" t="s">
        <v>36</v>
      </c>
      <c r="AX212" s="12" t="s">
        <v>85</v>
      </c>
      <c r="AY212" s="150" t="s">
        <v>177</v>
      </c>
    </row>
    <row r="213" spans="2:65" s="1" customFormat="1" ht="16.5" customHeight="1">
      <c r="B213" s="128"/>
      <c r="C213" s="129" t="s">
        <v>490</v>
      </c>
      <c r="D213" s="129" t="s">
        <v>180</v>
      </c>
      <c r="E213" s="130" t="s">
        <v>695</v>
      </c>
      <c r="F213" s="131" t="s">
        <v>696</v>
      </c>
      <c r="G213" s="132" t="s">
        <v>332</v>
      </c>
      <c r="H213" s="133">
        <v>24</v>
      </c>
      <c r="I213" s="134"/>
      <c r="J213" s="135">
        <f>ROUND(I213*H213,2)</f>
        <v>0</v>
      </c>
      <c r="K213" s="131" t="s">
        <v>184</v>
      </c>
      <c r="L213" s="33"/>
      <c r="M213" s="136" t="s">
        <v>3</v>
      </c>
      <c r="N213" s="137" t="s">
        <v>48</v>
      </c>
      <c r="P213" s="138">
        <f>O213*H213</f>
        <v>0</v>
      </c>
      <c r="Q213" s="138">
        <v>7E-06</v>
      </c>
      <c r="R213" s="138">
        <f>Q213*H213</f>
        <v>0.000168</v>
      </c>
      <c r="S213" s="138">
        <v>0</v>
      </c>
      <c r="T213" s="139">
        <f>S213*H213</f>
        <v>0</v>
      </c>
      <c r="AR213" s="140" t="s">
        <v>185</v>
      </c>
      <c r="AT213" s="140" t="s">
        <v>180</v>
      </c>
      <c r="AU213" s="140" t="s">
        <v>87</v>
      </c>
      <c r="AY213" s="18" t="s">
        <v>177</v>
      </c>
      <c r="BE213" s="141">
        <f>IF(N213="základní",J213,0)</f>
        <v>0</v>
      </c>
      <c r="BF213" s="141">
        <f>IF(N213="snížená",J213,0)</f>
        <v>0</v>
      </c>
      <c r="BG213" s="141">
        <f>IF(N213="zákl. přenesená",J213,0)</f>
        <v>0</v>
      </c>
      <c r="BH213" s="141">
        <f>IF(N213="sníž. přenesená",J213,0)</f>
        <v>0</v>
      </c>
      <c r="BI213" s="141">
        <f>IF(N213="nulová",J213,0)</f>
        <v>0</v>
      </c>
      <c r="BJ213" s="18" t="s">
        <v>85</v>
      </c>
      <c r="BK213" s="141">
        <f>ROUND(I213*H213,2)</f>
        <v>0</v>
      </c>
      <c r="BL213" s="18" t="s">
        <v>185</v>
      </c>
      <c r="BM213" s="140" t="s">
        <v>697</v>
      </c>
    </row>
    <row r="214" spans="2:47" s="1" customFormat="1" ht="19.5">
      <c r="B214" s="33"/>
      <c r="D214" s="142" t="s">
        <v>187</v>
      </c>
      <c r="F214" s="143" t="s">
        <v>698</v>
      </c>
      <c r="I214" s="144"/>
      <c r="L214" s="33"/>
      <c r="M214" s="145"/>
      <c r="T214" s="54"/>
      <c r="AT214" s="18" t="s">
        <v>187</v>
      </c>
      <c r="AU214" s="18" t="s">
        <v>87</v>
      </c>
    </row>
    <row r="215" spans="2:47" s="1" customFormat="1" ht="11.25">
      <c r="B215" s="33"/>
      <c r="D215" s="146" t="s">
        <v>189</v>
      </c>
      <c r="F215" s="147" t="s">
        <v>699</v>
      </c>
      <c r="I215" s="144"/>
      <c r="L215" s="33"/>
      <c r="M215" s="145"/>
      <c r="T215" s="54"/>
      <c r="AT215" s="18" t="s">
        <v>189</v>
      </c>
      <c r="AU215" s="18" t="s">
        <v>87</v>
      </c>
    </row>
    <row r="216" spans="2:47" s="1" customFormat="1" ht="312">
      <c r="B216" s="33"/>
      <c r="D216" s="142" t="s">
        <v>191</v>
      </c>
      <c r="F216" s="148" t="s">
        <v>693</v>
      </c>
      <c r="I216" s="144"/>
      <c r="L216" s="33"/>
      <c r="M216" s="145"/>
      <c r="T216" s="54"/>
      <c r="AT216" s="18" t="s">
        <v>191</v>
      </c>
      <c r="AU216" s="18" t="s">
        <v>87</v>
      </c>
    </row>
    <row r="217" spans="2:65" s="1" customFormat="1" ht="33" customHeight="1">
      <c r="B217" s="128"/>
      <c r="C217" s="129" t="s">
        <v>496</v>
      </c>
      <c r="D217" s="129" t="s">
        <v>180</v>
      </c>
      <c r="E217" s="130" t="s">
        <v>700</v>
      </c>
      <c r="F217" s="131" t="s">
        <v>701</v>
      </c>
      <c r="G217" s="132" t="s">
        <v>476</v>
      </c>
      <c r="H217" s="133">
        <v>48</v>
      </c>
      <c r="I217" s="134"/>
      <c r="J217" s="135">
        <f>ROUND(I217*H217,2)</f>
        <v>0</v>
      </c>
      <c r="K217" s="131" t="s">
        <v>184</v>
      </c>
      <c r="L217" s="33"/>
      <c r="M217" s="136" t="s">
        <v>3</v>
      </c>
      <c r="N217" s="137" t="s">
        <v>48</v>
      </c>
      <c r="P217" s="138">
        <f>O217*H217</f>
        <v>0</v>
      </c>
      <c r="Q217" s="138">
        <v>0.0236305</v>
      </c>
      <c r="R217" s="138">
        <f>Q217*H217</f>
        <v>1.134264</v>
      </c>
      <c r="S217" s="138">
        <v>0</v>
      </c>
      <c r="T217" s="139">
        <f>S217*H217</f>
        <v>0</v>
      </c>
      <c r="AR217" s="140" t="s">
        <v>185</v>
      </c>
      <c r="AT217" s="140" t="s">
        <v>180</v>
      </c>
      <c r="AU217" s="140" t="s">
        <v>87</v>
      </c>
      <c r="AY217" s="18" t="s">
        <v>177</v>
      </c>
      <c r="BE217" s="141">
        <f>IF(N217="základní",J217,0)</f>
        <v>0</v>
      </c>
      <c r="BF217" s="141">
        <f>IF(N217="snížená",J217,0)</f>
        <v>0</v>
      </c>
      <c r="BG217" s="141">
        <f>IF(N217="zákl. přenesená",J217,0)</f>
        <v>0</v>
      </c>
      <c r="BH217" s="141">
        <f>IF(N217="sníž. přenesená",J217,0)</f>
        <v>0</v>
      </c>
      <c r="BI217" s="141">
        <f>IF(N217="nulová",J217,0)</f>
        <v>0</v>
      </c>
      <c r="BJ217" s="18" t="s">
        <v>85</v>
      </c>
      <c r="BK217" s="141">
        <f>ROUND(I217*H217,2)</f>
        <v>0</v>
      </c>
      <c r="BL217" s="18" t="s">
        <v>185</v>
      </c>
      <c r="BM217" s="140" t="s">
        <v>702</v>
      </c>
    </row>
    <row r="218" spans="2:47" s="1" customFormat="1" ht="29.25">
      <c r="B218" s="33"/>
      <c r="D218" s="142" t="s">
        <v>187</v>
      </c>
      <c r="F218" s="143" t="s">
        <v>703</v>
      </c>
      <c r="I218" s="144"/>
      <c r="L218" s="33"/>
      <c r="M218" s="145"/>
      <c r="T218" s="54"/>
      <c r="AT218" s="18" t="s">
        <v>187</v>
      </c>
      <c r="AU218" s="18" t="s">
        <v>87</v>
      </c>
    </row>
    <row r="219" spans="2:47" s="1" customFormat="1" ht="11.25">
      <c r="B219" s="33"/>
      <c r="D219" s="146" t="s">
        <v>189</v>
      </c>
      <c r="F219" s="147" t="s">
        <v>704</v>
      </c>
      <c r="I219" s="144"/>
      <c r="L219" s="33"/>
      <c r="M219" s="145"/>
      <c r="T219" s="54"/>
      <c r="AT219" s="18" t="s">
        <v>189</v>
      </c>
      <c r="AU219" s="18" t="s">
        <v>87</v>
      </c>
    </row>
    <row r="220" spans="2:47" s="1" customFormat="1" ht="39">
      <c r="B220" s="33"/>
      <c r="D220" s="142" t="s">
        <v>191</v>
      </c>
      <c r="F220" s="148" t="s">
        <v>705</v>
      </c>
      <c r="I220" s="144"/>
      <c r="L220" s="33"/>
      <c r="M220" s="145"/>
      <c r="T220" s="54"/>
      <c r="AT220" s="18" t="s">
        <v>191</v>
      </c>
      <c r="AU220" s="18" t="s">
        <v>87</v>
      </c>
    </row>
    <row r="221" spans="2:51" s="12" customFormat="1" ht="11.25">
      <c r="B221" s="149"/>
      <c r="D221" s="142" t="s">
        <v>193</v>
      </c>
      <c r="E221" s="150" t="s">
        <v>3</v>
      </c>
      <c r="F221" s="151" t="s">
        <v>604</v>
      </c>
      <c r="H221" s="152">
        <v>48</v>
      </c>
      <c r="I221" s="153"/>
      <c r="L221" s="149"/>
      <c r="M221" s="154"/>
      <c r="T221" s="155"/>
      <c r="AT221" s="150" t="s">
        <v>193</v>
      </c>
      <c r="AU221" s="150" t="s">
        <v>87</v>
      </c>
      <c r="AV221" s="12" t="s">
        <v>87</v>
      </c>
      <c r="AW221" s="12" t="s">
        <v>36</v>
      </c>
      <c r="AX221" s="12" t="s">
        <v>85</v>
      </c>
      <c r="AY221" s="150" t="s">
        <v>177</v>
      </c>
    </row>
    <row r="222" spans="2:65" s="1" customFormat="1" ht="37.9" customHeight="1">
      <c r="B222" s="128"/>
      <c r="C222" s="129" t="s">
        <v>502</v>
      </c>
      <c r="D222" s="129" t="s">
        <v>180</v>
      </c>
      <c r="E222" s="130" t="s">
        <v>706</v>
      </c>
      <c r="F222" s="131" t="s">
        <v>707</v>
      </c>
      <c r="G222" s="132" t="s">
        <v>476</v>
      </c>
      <c r="H222" s="133">
        <v>48</v>
      </c>
      <c r="I222" s="134"/>
      <c r="J222" s="135">
        <f>ROUND(I222*H222,2)</f>
        <v>0</v>
      </c>
      <c r="K222" s="131" t="s">
        <v>184</v>
      </c>
      <c r="L222" s="33"/>
      <c r="M222" s="136" t="s">
        <v>3</v>
      </c>
      <c r="N222" s="137" t="s">
        <v>48</v>
      </c>
      <c r="P222" s="138">
        <f>O222*H222</f>
        <v>0</v>
      </c>
      <c r="Q222" s="138">
        <v>0.0043225</v>
      </c>
      <c r="R222" s="138">
        <f>Q222*H222</f>
        <v>0.20748</v>
      </c>
      <c r="S222" s="138">
        <v>0</v>
      </c>
      <c r="T222" s="139">
        <f>S222*H222</f>
        <v>0</v>
      </c>
      <c r="AR222" s="140" t="s">
        <v>185</v>
      </c>
      <c r="AT222" s="140" t="s">
        <v>180</v>
      </c>
      <c r="AU222" s="140" t="s">
        <v>87</v>
      </c>
      <c r="AY222" s="18" t="s">
        <v>177</v>
      </c>
      <c r="BE222" s="141">
        <f>IF(N222="základní",J222,0)</f>
        <v>0</v>
      </c>
      <c r="BF222" s="141">
        <f>IF(N222="snížená",J222,0)</f>
        <v>0</v>
      </c>
      <c r="BG222" s="141">
        <f>IF(N222="zákl. přenesená",J222,0)</f>
        <v>0</v>
      </c>
      <c r="BH222" s="141">
        <f>IF(N222="sníž. přenesená",J222,0)</f>
        <v>0</v>
      </c>
      <c r="BI222" s="141">
        <f>IF(N222="nulová",J222,0)</f>
        <v>0</v>
      </c>
      <c r="BJ222" s="18" t="s">
        <v>85</v>
      </c>
      <c r="BK222" s="141">
        <f>ROUND(I222*H222,2)</f>
        <v>0</v>
      </c>
      <c r="BL222" s="18" t="s">
        <v>185</v>
      </c>
      <c r="BM222" s="140" t="s">
        <v>708</v>
      </c>
    </row>
    <row r="223" spans="2:47" s="1" customFormat="1" ht="29.25">
      <c r="B223" s="33"/>
      <c r="D223" s="142" t="s">
        <v>187</v>
      </c>
      <c r="F223" s="143" t="s">
        <v>709</v>
      </c>
      <c r="I223" s="144"/>
      <c r="L223" s="33"/>
      <c r="M223" s="145"/>
      <c r="T223" s="54"/>
      <c r="AT223" s="18" t="s">
        <v>187</v>
      </c>
      <c r="AU223" s="18" t="s">
        <v>87</v>
      </c>
    </row>
    <row r="224" spans="2:47" s="1" customFormat="1" ht="11.25">
      <c r="B224" s="33"/>
      <c r="D224" s="146" t="s">
        <v>189</v>
      </c>
      <c r="F224" s="147" t="s">
        <v>710</v>
      </c>
      <c r="I224" s="144"/>
      <c r="L224" s="33"/>
      <c r="M224" s="145"/>
      <c r="T224" s="54"/>
      <c r="AT224" s="18" t="s">
        <v>189</v>
      </c>
      <c r="AU224" s="18" t="s">
        <v>87</v>
      </c>
    </row>
    <row r="225" spans="2:47" s="1" customFormat="1" ht="39">
      <c r="B225" s="33"/>
      <c r="D225" s="142" t="s">
        <v>191</v>
      </c>
      <c r="F225" s="148" t="s">
        <v>705</v>
      </c>
      <c r="I225" s="144"/>
      <c r="L225" s="33"/>
      <c r="M225" s="145"/>
      <c r="T225" s="54"/>
      <c r="AT225" s="18" t="s">
        <v>191</v>
      </c>
      <c r="AU225" s="18" t="s">
        <v>87</v>
      </c>
    </row>
    <row r="226" spans="2:63" s="11" customFormat="1" ht="22.9" customHeight="1">
      <c r="B226" s="116"/>
      <c r="D226" s="117" t="s">
        <v>76</v>
      </c>
      <c r="E226" s="126" t="s">
        <v>518</v>
      </c>
      <c r="F226" s="126" t="s">
        <v>519</v>
      </c>
      <c r="I226" s="119"/>
      <c r="J226" s="127">
        <f>BK226</f>
        <v>0</v>
      </c>
      <c r="L226" s="116"/>
      <c r="M226" s="121"/>
      <c r="P226" s="122">
        <f>SUM(P227:P230)</f>
        <v>0</v>
      </c>
      <c r="R226" s="122">
        <f>SUM(R227:R230)</f>
        <v>0</v>
      </c>
      <c r="T226" s="123">
        <f>SUM(T227:T230)</f>
        <v>0</v>
      </c>
      <c r="AR226" s="117" t="s">
        <v>85</v>
      </c>
      <c r="AT226" s="124" t="s">
        <v>76</v>
      </c>
      <c r="AU226" s="124" t="s">
        <v>85</v>
      </c>
      <c r="AY226" s="117" t="s">
        <v>177</v>
      </c>
      <c r="BK226" s="125">
        <f>SUM(BK227:BK230)</f>
        <v>0</v>
      </c>
    </row>
    <row r="227" spans="2:65" s="1" customFormat="1" ht="21.75" customHeight="1">
      <c r="B227" s="128"/>
      <c r="C227" s="129" t="s">
        <v>504</v>
      </c>
      <c r="D227" s="129" t="s">
        <v>180</v>
      </c>
      <c r="E227" s="130" t="s">
        <v>521</v>
      </c>
      <c r="F227" s="131" t="s">
        <v>522</v>
      </c>
      <c r="G227" s="132" t="s">
        <v>183</v>
      </c>
      <c r="H227" s="133">
        <v>63.468</v>
      </c>
      <c r="I227" s="134"/>
      <c r="J227" s="135">
        <f>ROUND(I227*H227,2)</f>
        <v>0</v>
      </c>
      <c r="K227" s="131" t="s">
        <v>184</v>
      </c>
      <c r="L227" s="33"/>
      <c r="M227" s="136" t="s">
        <v>3</v>
      </c>
      <c r="N227" s="137" t="s">
        <v>48</v>
      </c>
      <c r="P227" s="138">
        <f>O227*H227</f>
        <v>0</v>
      </c>
      <c r="Q227" s="138">
        <v>0</v>
      </c>
      <c r="R227" s="138">
        <f>Q227*H227</f>
        <v>0</v>
      </c>
      <c r="S227" s="138">
        <v>0</v>
      </c>
      <c r="T227" s="139">
        <f>S227*H227</f>
        <v>0</v>
      </c>
      <c r="AR227" s="140" t="s">
        <v>185</v>
      </c>
      <c r="AT227" s="140" t="s">
        <v>180</v>
      </c>
      <c r="AU227" s="140" t="s">
        <v>87</v>
      </c>
      <c r="AY227" s="18" t="s">
        <v>177</v>
      </c>
      <c r="BE227" s="141">
        <f>IF(N227="základní",J227,0)</f>
        <v>0</v>
      </c>
      <c r="BF227" s="141">
        <f>IF(N227="snížená",J227,0)</f>
        <v>0</v>
      </c>
      <c r="BG227" s="141">
        <f>IF(N227="zákl. přenesená",J227,0)</f>
        <v>0</v>
      </c>
      <c r="BH227" s="141">
        <f>IF(N227="sníž. přenesená",J227,0)</f>
        <v>0</v>
      </c>
      <c r="BI227" s="141">
        <f>IF(N227="nulová",J227,0)</f>
        <v>0</v>
      </c>
      <c r="BJ227" s="18" t="s">
        <v>85</v>
      </c>
      <c r="BK227" s="141">
        <f>ROUND(I227*H227,2)</f>
        <v>0</v>
      </c>
      <c r="BL227" s="18" t="s">
        <v>185</v>
      </c>
      <c r="BM227" s="140" t="s">
        <v>711</v>
      </c>
    </row>
    <row r="228" spans="2:47" s="1" customFormat="1" ht="39">
      <c r="B228" s="33"/>
      <c r="D228" s="142" t="s">
        <v>187</v>
      </c>
      <c r="F228" s="143" t="s">
        <v>524</v>
      </c>
      <c r="I228" s="144"/>
      <c r="L228" s="33"/>
      <c r="M228" s="145"/>
      <c r="T228" s="54"/>
      <c r="AT228" s="18" t="s">
        <v>187</v>
      </c>
      <c r="AU228" s="18" t="s">
        <v>87</v>
      </c>
    </row>
    <row r="229" spans="2:47" s="1" customFormat="1" ht="11.25">
      <c r="B229" s="33"/>
      <c r="D229" s="146" t="s">
        <v>189</v>
      </c>
      <c r="F229" s="147" t="s">
        <v>525</v>
      </c>
      <c r="I229" s="144"/>
      <c r="L229" s="33"/>
      <c r="M229" s="145"/>
      <c r="T229" s="54"/>
      <c r="AT229" s="18" t="s">
        <v>189</v>
      </c>
      <c r="AU229" s="18" t="s">
        <v>87</v>
      </c>
    </row>
    <row r="230" spans="2:47" s="1" customFormat="1" ht="87.75">
      <c r="B230" s="33"/>
      <c r="D230" s="142" t="s">
        <v>191</v>
      </c>
      <c r="F230" s="148" t="s">
        <v>526</v>
      </c>
      <c r="I230" s="144"/>
      <c r="L230" s="33"/>
      <c r="M230" s="145"/>
      <c r="T230" s="54"/>
      <c r="AT230" s="18" t="s">
        <v>191</v>
      </c>
      <c r="AU230" s="18" t="s">
        <v>87</v>
      </c>
    </row>
    <row r="231" spans="2:63" s="11" customFormat="1" ht="25.9" customHeight="1">
      <c r="B231" s="116"/>
      <c r="D231" s="117" t="s">
        <v>76</v>
      </c>
      <c r="E231" s="118" t="s">
        <v>229</v>
      </c>
      <c r="F231" s="118" t="s">
        <v>230</v>
      </c>
      <c r="I231" s="119"/>
      <c r="J231" s="120">
        <f>BK231</f>
        <v>0</v>
      </c>
      <c r="L231" s="116"/>
      <c r="M231" s="121"/>
      <c r="P231" s="122">
        <f>P232+P279</f>
        <v>0</v>
      </c>
      <c r="R231" s="122">
        <f>R232+R279</f>
        <v>1.553910655</v>
      </c>
      <c r="T231" s="123">
        <f>T232+T279</f>
        <v>0</v>
      </c>
      <c r="AR231" s="117" t="s">
        <v>87</v>
      </c>
      <c r="AT231" s="124" t="s">
        <v>76</v>
      </c>
      <c r="AU231" s="124" t="s">
        <v>77</v>
      </c>
      <c r="AY231" s="117" t="s">
        <v>177</v>
      </c>
      <c r="BK231" s="125">
        <f>BK232+BK279</f>
        <v>0</v>
      </c>
    </row>
    <row r="232" spans="2:63" s="11" customFormat="1" ht="22.9" customHeight="1">
      <c r="B232" s="116"/>
      <c r="D232" s="117" t="s">
        <v>76</v>
      </c>
      <c r="E232" s="126" t="s">
        <v>712</v>
      </c>
      <c r="F232" s="126" t="s">
        <v>713</v>
      </c>
      <c r="I232" s="119"/>
      <c r="J232" s="127">
        <f>BK232</f>
        <v>0</v>
      </c>
      <c r="L232" s="116"/>
      <c r="M232" s="121"/>
      <c r="P232" s="122">
        <f>SUM(P233:P278)</f>
        <v>0</v>
      </c>
      <c r="R232" s="122">
        <f>SUM(R233:R278)</f>
        <v>1.240278655</v>
      </c>
      <c r="T232" s="123">
        <f>SUM(T233:T278)</f>
        <v>0</v>
      </c>
      <c r="AR232" s="117" t="s">
        <v>87</v>
      </c>
      <c r="AT232" s="124" t="s">
        <v>76</v>
      </c>
      <c r="AU232" s="124" t="s">
        <v>85</v>
      </c>
      <c r="AY232" s="117" t="s">
        <v>177</v>
      </c>
      <c r="BK232" s="125">
        <f>SUM(BK233:BK278)</f>
        <v>0</v>
      </c>
    </row>
    <row r="233" spans="2:65" s="1" customFormat="1" ht="24.2" customHeight="1">
      <c r="B233" s="128"/>
      <c r="C233" s="129" t="s">
        <v>507</v>
      </c>
      <c r="D233" s="129" t="s">
        <v>180</v>
      </c>
      <c r="E233" s="130" t="s">
        <v>714</v>
      </c>
      <c r="F233" s="131" t="s">
        <v>715</v>
      </c>
      <c r="G233" s="132" t="s">
        <v>332</v>
      </c>
      <c r="H233" s="133">
        <v>17.52</v>
      </c>
      <c r="I233" s="134"/>
      <c r="J233" s="135">
        <f>ROUND(I233*H233,2)</f>
        <v>0</v>
      </c>
      <c r="K233" s="131" t="s">
        <v>184</v>
      </c>
      <c r="L233" s="33"/>
      <c r="M233" s="136" t="s">
        <v>3</v>
      </c>
      <c r="N233" s="137" t="s">
        <v>48</v>
      </c>
      <c r="P233" s="138">
        <f>O233*H233</f>
        <v>0</v>
      </c>
      <c r="Q233" s="138">
        <v>0</v>
      </c>
      <c r="R233" s="138">
        <f>Q233*H233</f>
        <v>0</v>
      </c>
      <c r="S233" s="138">
        <v>0</v>
      </c>
      <c r="T233" s="139">
        <f>S233*H233</f>
        <v>0</v>
      </c>
      <c r="AR233" s="140" t="s">
        <v>237</v>
      </c>
      <c r="AT233" s="140" t="s">
        <v>180</v>
      </c>
      <c r="AU233" s="140" t="s">
        <v>87</v>
      </c>
      <c r="AY233" s="18" t="s">
        <v>177</v>
      </c>
      <c r="BE233" s="141">
        <f>IF(N233="základní",J233,0)</f>
        <v>0</v>
      </c>
      <c r="BF233" s="141">
        <f>IF(N233="snížená",J233,0)</f>
        <v>0</v>
      </c>
      <c r="BG233" s="141">
        <f>IF(N233="zákl. přenesená",J233,0)</f>
        <v>0</v>
      </c>
      <c r="BH233" s="141">
        <f>IF(N233="sníž. přenesená",J233,0)</f>
        <v>0</v>
      </c>
      <c r="BI233" s="141">
        <f>IF(N233="nulová",J233,0)</f>
        <v>0</v>
      </c>
      <c r="BJ233" s="18" t="s">
        <v>85</v>
      </c>
      <c r="BK233" s="141">
        <f>ROUND(I233*H233,2)</f>
        <v>0</v>
      </c>
      <c r="BL233" s="18" t="s">
        <v>237</v>
      </c>
      <c r="BM233" s="140" t="s">
        <v>716</v>
      </c>
    </row>
    <row r="234" spans="2:47" s="1" customFormat="1" ht="19.5">
      <c r="B234" s="33"/>
      <c r="D234" s="142" t="s">
        <v>187</v>
      </c>
      <c r="F234" s="143" t="s">
        <v>717</v>
      </c>
      <c r="I234" s="144"/>
      <c r="L234" s="33"/>
      <c r="M234" s="145"/>
      <c r="T234" s="54"/>
      <c r="AT234" s="18" t="s">
        <v>187</v>
      </c>
      <c r="AU234" s="18" t="s">
        <v>87</v>
      </c>
    </row>
    <row r="235" spans="2:47" s="1" customFormat="1" ht="11.25">
      <c r="B235" s="33"/>
      <c r="D235" s="146" t="s">
        <v>189</v>
      </c>
      <c r="F235" s="147" t="s">
        <v>718</v>
      </c>
      <c r="I235" s="144"/>
      <c r="L235" s="33"/>
      <c r="M235" s="145"/>
      <c r="T235" s="54"/>
      <c r="AT235" s="18" t="s">
        <v>189</v>
      </c>
      <c r="AU235" s="18" t="s">
        <v>87</v>
      </c>
    </row>
    <row r="236" spans="2:47" s="1" customFormat="1" ht="48.75">
      <c r="B236" s="33"/>
      <c r="D236" s="142" t="s">
        <v>191</v>
      </c>
      <c r="F236" s="148" t="s">
        <v>719</v>
      </c>
      <c r="I236" s="144"/>
      <c r="L236" s="33"/>
      <c r="M236" s="145"/>
      <c r="T236" s="54"/>
      <c r="AT236" s="18" t="s">
        <v>191</v>
      </c>
      <c r="AU236" s="18" t="s">
        <v>87</v>
      </c>
    </row>
    <row r="237" spans="2:51" s="12" customFormat="1" ht="11.25">
      <c r="B237" s="149"/>
      <c r="D237" s="142" t="s">
        <v>193</v>
      </c>
      <c r="E237" s="150" t="s">
        <v>3</v>
      </c>
      <c r="F237" s="151" t="s">
        <v>720</v>
      </c>
      <c r="H237" s="152">
        <v>14.52</v>
      </c>
      <c r="I237" s="153"/>
      <c r="L237" s="149"/>
      <c r="M237" s="154"/>
      <c r="T237" s="155"/>
      <c r="AT237" s="150" t="s">
        <v>193</v>
      </c>
      <c r="AU237" s="150" t="s">
        <v>87</v>
      </c>
      <c r="AV237" s="12" t="s">
        <v>87</v>
      </c>
      <c r="AW237" s="12" t="s">
        <v>36</v>
      </c>
      <c r="AX237" s="12" t="s">
        <v>77</v>
      </c>
      <c r="AY237" s="150" t="s">
        <v>177</v>
      </c>
    </row>
    <row r="238" spans="2:51" s="12" customFormat="1" ht="11.25">
      <c r="B238" s="149"/>
      <c r="D238" s="142" t="s">
        <v>193</v>
      </c>
      <c r="E238" s="150" t="s">
        <v>3</v>
      </c>
      <c r="F238" s="151" t="s">
        <v>721</v>
      </c>
      <c r="H238" s="152">
        <v>1.8</v>
      </c>
      <c r="I238" s="153"/>
      <c r="L238" s="149"/>
      <c r="M238" s="154"/>
      <c r="T238" s="155"/>
      <c r="AT238" s="150" t="s">
        <v>193</v>
      </c>
      <c r="AU238" s="150" t="s">
        <v>87</v>
      </c>
      <c r="AV238" s="12" t="s">
        <v>87</v>
      </c>
      <c r="AW238" s="12" t="s">
        <v>36</v>
      </c>
      <c r="AX238" s="12" t="s">
        <v>77</v>
      </c>
      <c r="AY238" s="150" t="s">
        <v>177</v>
      </c>
    </row>
    <row r="239" spans="2:51" s="13" customFormat="1" ht="11.25">
      <c r="B239" s="156"/>
      <c r="D239" s="142" t="s">
        <v>193</v>
      </c>
      <c r="E239" s="157" t="s">
        <v>3</v>
      </c>
      <c r="F239" s="158" t="s">
        <v>722</v>
      </c>
      <c r="H239" s="157" t="s">
        <v>3</v>
      </c>
      <c r="I239" s="159"/>
      <c r="L239" s="156"/>
      <c r="M239" s="160"/>
      <c r="T239" s="161"/>
      <c r="AT239" s="157" t="s">
        <v>193</v>
      </c>
      <c r="AU239" s="157" t="s">
        <v>87</v>
      </c>
      <c r="AV239" s="13" t="s">
        <v>85</v>
      </c>
      <c r="AW239" s="13" t="s">
        <v>36</v>
      </c>
      <c r="AX239" s="13" t="s">
        <v>77</v>
      </c>
      <c r="AY239" s="157" t="s">
        <v>177</v>
      </c>
    </row>
    <row r="240" spans="2:51" s="12" customFormat="1" ht="11.25">
      <c r="B240" s="149"/>
      <c r="D240" s="142" t="s">
        <v>193</v>
      </c>
      <c r="E240" s="150" t="s">
        <v>3</v>
      </c>
      <c r="F240" s="151" t="s">
        <v>723</v>
      </c>
      <c r="H240" s="152">
        <v>1.2</v>
      </c>
      <c r="I240" s="153"/>
      <c r="L240" s="149"/>
      <c r="M240" s="154"/>
      <c r="T240" s="155"/>
      <c r="AT240" s="150" t="s">
        <v>193</v>
      </c>
      <c r="AU240" s="150" t="s">
        <v>87</v>
      </c>
      <c r="AV240" s="12" t="s">
        <v>87</v>
      </c>
      <c r="AW240" s="12" t="s">
        <v>36</v>
      </c>
      <c r="AX240" s="12" t="s">
        <v>77</v>
      </c>
      <c r="AY240" s="150" t="s">
        <v>177</v>
      </c>
    </row>
    <row r="241" spans="2:51" s="15" customFormat="1" ht="11.25">
      <c r="B241" s="169"/>
      <c r="D241" s="142" t="s">
        <v>193</v>
      </c>
      <c r="E241" s="170" t="s">
        <v>3</v>
      </c>
      <c r="F241" s="171" t="s">
        <v>201</v>
      </c>
      <c r="H241" s="172">
        <v>17.52</v>
      </c>
      <c r="I241" s="173"/>
      <c r="L241" s="169"/>
      <c r="M241" s="174"/>
      <c r="T241" s="175"/>
      <c r="AT241" s="170" t="s">
        <v>193</v>
      </c>
      <c r="AU241" s="170" t="s">
        <v>87</v>
      </c>
      <c r="AV241" s="15" t="s">
        <v>185</v>
      </c>
      <c r="AW241" s="15" t="s">
        <v>36</v>
      </c>
      <c r="AX241" s="15" t="s">
        <v>85</v>
      </c>
      <c r="AY241" s="170" t="s">
        <v>177</v>
      </c>
    </row>
    <row r="242" spans="2:65" s="1" customFormat="1" ht="24.2" customHeight="1">
      <c r="B242" s="128"/>
      <c r="C242" s="129" t="s">
        <v>509</v>
      </c>
      <c r="D242" s="129" t="s">
        <v>180</v>
      </c>
      <c r="E242" s="130" t="s">
        <v>724</v>
      </c>
      <c r="F242" s="131" t="s">
        <v>725</v>
      </c>
      <c r="G242" s="132" t="s">
        <v>332</v>
      </c>
      <c r="H242" s="133">
        <v>65.5</v>
      </c>
      <c r="I242" s="134"/>
      <c r="J242" s="135">
        <f>ROUND(I242*H242,2)</f>
        <v>0</v>
      </c>
      <c r="K242" s="131" t="s">
        <v>184</v>
      </c>
      <c r="L242" s="33"/>
      <c r="M242" s="136" t="s">
        <v>3</v>
      </c>
      <c r="N242" s="137" t="s">
        <v>48</v>
      </c>
      <c r="P242" s="138">
        <f>O242*H242</f>
        <v>0</v>
      </c>
      <c r="Q242" s="138">
        <v>0</v>
      </c>
      <c r="R242" s="138">
        <f>Q242*H242</f>
        <v>0</v>
      </c>
      <c r="S242" s="138">
        <v>0</v>
      </c>
      <c r="T242" s="139">
        <f>S242*H242</f>
        <v>0</v>
      </c>
      <c r="AR242" s="140" t="s">
        <v>237</v>
      </c>
      <c r="AT242" s="140" t="s">
        <v>180</v>
      </c>
      <c r="AU242" s="140" t="s">
        <v>87</v>
      </c>
      <c r="AY242" s="18" t="s">
        <v>177</v>
      </c>
      <c r="BE242" s="141">
        <f>IF(N242="základní",J242,0)</f>
        <v>0</v>
      </c>
      <c r="BF242" s="141">
        <f>IF(N242="snížená",J242,0)</f>
        <v>0</v>
      </c>
      <c r="BG242" s="141">
        <f>IF(N242="zákl. přenesená",J242,0)</f>
        <v>0</v>
      </c>
      <c r="BH242" s="141">
        <f>IF(N242="sníž. přenesená",J242,0)</f>
        <v>0</v>
      </c>
      <c r="BI242" s="141">
        <f>IF(N242="nulová",J242,0)</f>
        <v>0</v>
      </c>
      <c r="BJ242" s="18" t="s">
        <v>85</v>
      </c>
      <c r="BK242" s="141">
        <f>ROUND(I242*H242,2)</f>
        <v>0</v>
      </c>
      <c r="BL242" s="18" t="s">
        <v>237</v>
      </c>
      <c r="BM242" s="140" t="s">
        <v>726</v>
      </c>
    </row>
    <row r="243" spans="2:47" s="1" customFormat="1" ht="19.5">
      <c r="B243" s="33"/>
      <c r="D243" s="142" t="s">
        <v>187</v>
      </c>
      <c r="F243" s="143" t="s">
        <v>727</v>
      </c>
      <c r="I243" s="144"/>
      <c r="L243" s="33"/>
      <c r="M243" s="145"/>
      <c r="T243" s="54"/>
      <c r="AT243" s="18" t="s">
        <v>187</v>
      </c>
      <c r="AU243" s="18" t="s">
        <v>87</v>
      </c>
    </row>
    <row r="244" spans="2:47" s="1" customFormat="1" ht="11.25">
      <c r="B244" s="33"/>
      <c r="D244" s="146" t="s">
        <v>189</v>
      </c>
      <c r="F244" s="147" t="s">
        <v>728</v>
      </c>
      <c r="I244" s="144"/>
      <c r="L244" s="33"/>
      <c r="M244" s="145"/>
      <c r="T244" s="54"/>
      <c r="AT244" s="18" t="s">
        <v>189</v>
      </c>
      <c r="AU244" s="18" t="s">
        <v>87</v>
      </c>
    </row>
    <row r="245" spans="2:47" s="1" customFormat="1" ht="48.75">
      <c r="B245" s="33"/>
      <c r="D245" s="142" t="s">
        <v>191</v>
      </c>
      <c r="F245" s="148" t="s">
        <v>719</v>
      </c>
      <c r="I245" s="144"/>
      <c r="L245" s="33"/>
      <c r="M245" s="145"/>
      <c r="T245" s="54"/>
      <c r="AT245" s="18" t="s">
        <v>191</v>
      </c>
      <c r="AU245" s="18" t="s">
        <v>87</v>
      </c>
    </row>
    <row r="246" spans="2:51" s="12" customFormat="1" ht="11.25">
      <c r="B246" s="149"/>
      <c r="D246" s="142" t="s">
        <v>193</v>
      </c>
      <c r="E246" s="150" t="s">
        <v>3</v>
      </c>
      <c r="F246" s="151" t="s">
        <v>729</v>
      </c>
      <c r="H246" s="152">
        <v>60.5</v>
      </c>
      <c r="I246" s="153"/>
      <c r="L246" s="149"/>
      <c r="M246" s="154"/>
      <c r="T246" s="155"/>
      <c r="AT246" s="150" t="s">
        <v>193</v>
      </c>
      <c r="AU246" s="150" t="s">
        <v>87</v>
      </c>
      <c r="AV246" s="12" t="s">
        <v>87</v>
      </c>
      <c r="AW246" s="12" t="s">
        <v>36</v>
      </c>
      <c r="AX246" s="12" t="s">
        <v>77</v>
      </c>
      <c r="AY246" s="150" t="s">
        <v>177</v>
      </c>
    </row>
    <row r="247" spans="2:51" s="13" customFormat="1" ht="11.25">
      <c r="B247" s="156"/>
      <c r="D247" s="142" t="s">
        <v>193</v>
      </c>
      <c r="E247" s="157" t="s">
        <v>3</v>
      </c>
      <c r="F247" s="158" t="s">
        <v>722</v>
      </c>
      <c r="H247" s="157" t="s">
        <v>3</v>
      </c>
      <c r="I247" s="159"/>
      <c r="L247" s="156"/>
      <c r="M247" s="160"/>
      <c r="T247" s="161"/>
      <c r="AT247" s="157" t="s">
        <v>193</v>
      </c>
      <c r="AU247" s="157" t="s">
        <v>87</v>
      </c>
      <c r="AV247" s="13" t="s">
        <v>85</v>
      </c>
      <c r="AW247" s="13" t="s">
        <v>36</v>
      </c>
      <c r="AX247" s="13" t="s">
        <v>77</v>
      </c>
      <c r="AY247" s="157" t="s">
        <v>177</v>
      </c>
    </row>
    <row r="248" spans="2:51" s="12" customFormat="1" ht="11.25">
      <c r="B248" s="149"/>
      <c r="D248" s="142" t="s">
        <v>193</v>
      </c>
      <c r="E248" s="150" t="s">
        <v>3</v>
      </c>
      <c r="F248" s="151" t="s">
        <v>730</v>
      </c>
      <c r="H248" s="152">
        <v>5</v>
      </c>
      <c r="I248" s="153"/>
      <c r="L248" s="149"/>
      <c r="M248" s="154"/>
      <c r="T248" s="155"/>
      <c r="AT248" s="150" t="s">
        <v>193</v>
      </c>
      <c r="AU248" s="150" t="s">
        <v>87</v>
      </c>
      <c r="AV248" s="12" t="s">
        <v>87</v>
      </c>
      <c r="AW248" s="12" t="s">
        <v>36</v>
      </c>
      <c r="AX248" s="12" t="s">
        <v>77</v>
      </c>
      <c r="AY248" s="150" t="s">
        <v>177</v>
      </c>
    </row>
    <row r="249" spans="2:51" s="15" customFormat="1" ht="11.25">
      <c r="B249" s="169"/>
      <c r="D249" s="142" t="s">
        <v>193</v>
      </c>
      <c r="E249" s="170" t="s">
        <v>3</v>
      </c>
      <c r="F249" s="171" t="s">
        <v>201</v>
      </c>
      <c r="H249" s="172">
        <v>65.5</v>
      </c>
      <c r="I249" s="173"/>
      <c r="L249" s="169"/>
      <c r="M249" s="174"/>
      <c r="T249" s="175"/>
      <c r="AT249" s="170" t="s">
        <v>193</v>
      </c>
      <c r="AU249" s="170" t="s">
        <v>87</v>
      </c>
      <c r="AV249" s="15" t="s">
        <v>185</v>
      </c>
      <c r="AW249" s="15" t="s">
        <v>36</v>
      </c>
      <c r="AX249" s="15" t="s">
        <v>85</v>
      </c>
      <c r="AY249" s="170" t="s">
        <v>177</v>
      </c>
    </row>
    <row r="250" spans="2:65" s="1" customFormat="1" ht="16.5" customHeight="1">
      <c r="B250" s="128"/>
      <c r="C250" s="179" t="s">
        <v>512</v>
      </c>
      <c r="D250" s="179" t="s">
        <v>484</v>
      </c>
      <c r="E250" s="180" t="s">
        <v>731</v>
      </c>
      <c r="F250" s="181" t="s">
        <v>732</v>
      </c>
      <c r="G250" s="182" t="s">
        <v>183</v>
      </c>
      <c r="H250" s="183">
        <v>0.037</v>
      </c>
      <c r="I250" s="184"/>
      <c r="J250" s="185">
        <f>ROUND(I250*H250,2)</f>
        <v>0</v>
      </c>
      <c r="K250" s="181" t="s">
        <v>184</v>
      </c>
      <c r="L250" s="186"/>
      <c r="M250" s="187" t="s">
        <v>3</v>
      </c>
      <c r="N250" s="188" t="s">
        <v>48</v>
      </c>
      <c r="P250" s="138">
        <f>O250*H250</f>
        <v>0</v>
      </c>
      <c r="Q250" s="138">
        <v>1</v>
      </c>
      <c r="R250" s="138">
        <f>Q250*H250</f>
        <v>0.037</v>
      </c>
      <c r="S250" s="138">
        <v>0</v>
      </c>
      <c r="T250" s="139">
        <f>S250*H250</f>
        <v>0</v>
      </c>
      <c r="AR250" s="140" t="s">
        <v>537</v>
      </c>
      <c r="AT250" s="140" t="s">
        <v>484</v>
      </c>
      <c r="AU250" s="140" t="s">
        <v>87</v>
      </c>
      <c r="AY250" s="18" t="s">
        <v>177</v>
      </c>
      <c r="BE250" s="141">
        <f>IF(N250="základní",J250,0)</f>
        <v>0</v>
      </c>
      <c r="BF250" s="141">
        <f>IF(N250="snížená",J250,0)</f>
        <v>0</v>
      </c>
      <c r="BG250" s="141">
        <f>IF(N250="zákl. přenesená",J250,0)</f>
        <v>0</v>
      </c>
      <c r="BH250" s="141">
        <f>IF(N250="sníž. přenesená",J250,0)</f>
        <v>0</v>
      </c>
      <c r="BI250" s="141">
        <f>IF(N250="nulová",J250,0)</f>
        <v>0</v>
      </c>
      <c r="BJ250" s="18" t="s">
        <v>85</v>
      </c>
      <c r="BK250" s="141">
        <f>ROUND(I250*H250,2)</f>
        <v>0</v>
      </c>
      <c r="BL250" s="18" t="s">
        <v>237</v>
      </c>
      <c r="BM250" s="140" t="s">
        <v>733</v>
      </c>
    </row>
    <row r="251" spans="2:47" s="1" customFormat="1" ht="11.25">
      <c r="B251" s="33"/>
      <c r="D251" s="142" t="s">
        <v>187</v>
      </c>
      <c r="F251" s="143" t="s">
        <v>732</v>
      </c>
      <c r="I251" s="144"/>
      <c r="L251" s="33"/>
      <c r="M251" s="145"/>
      <c r="T251" s="54"/>
      <c r="AT251" s="18" t="s">
        <v>187</v>
      </c>
      <c r="AU251" s="18" t="s">
        <v>87</v>
      </c>
    </row>
    <row r="252" spans="2:51" s="12" customFormat="1" ht="11.25">
      <c r="B252" s="149"/>
      <c r="D252" s="142" t="s">
        <v>193</v>
      </c>
      <c r="E252" s="150" t="s">
        <v>3</v>
      </c>
      <c r="F252" s="151" t="s">
        <v>734</v>
      </c>
      <c r="H252" s="152">
        <v>83.02</v>
      </c>
      <c r="I252" s="153"/>
      <c r="L252" s="149"/>
      <c r="M252" s="154"/>
      <c r="T252" s="155"/>
      <c r="AT252" s="150" t="s">
        <v>193</v>
      </c>
      <c r="AU252" s="150" t="s">
        <v>87</v>
      </c>
      <c r="AV252" s="12" t="s">
        <v>87</v>
      </c>
      <c r="AW252" s="12" t="s">
        <v>36</v>
      </c>
      <c r="AX252" s="12" t="s">
        <v>85</v>
      </c>
      <c r="AY252" s="150" t="s">
        <v>177</v>
      </c>
    </row>
    <row r="253" spans="2:51" s="12" customFormat="1" ht="11.25">
      <c r="B253" s="149"/>
      <c r="D253" s="142" t="s">
        <v>193</v>
      </c>
      <c r="F253" s="151" t="s">
        <v>735</v>
      </c>
      <c r="H253" s="152">
        <v>0.037</v>
      </c>
      <c r="I253" s="153"/>
      <c r="L253" s="149"/>
      <c r="M253" s="154"/>
      <c r="T253" s="155"/>
      <c r="AT253" s="150" t="s">
        <v>193</v>
      </c>
      <c r="AU253" s="150" t="s">
        <v>87</v>
      </c>
      <c r="AV253" s="12" t="s">
        <v>87</v>
      </c>
      <c r="AW253" s="12" t="s">
        <v>4</v>
      </c>
      <c r="AX253" s="12" t="s">
        <v>85</v>
      </c>
      <c r="AY253" s="150" t="s">
        <v>177</v>
      </c>
    </row>
    <row r="254" spans="2:65" s="1" customFormat="1" ht="24.2" customHeight="1">
      <c r="B254" s="128"/>
      <c r="C254" s="129" t="s">
        <v>520</v>
      </c>
      <c r="D254" s="129" t="s">
        <v>180</v>
      </c>
      <c r="E254" s="130" t="s">
        <v>736</v>
      </c>
      <c r="F254" s="131" t="s">
        <v>737</v>
      </c>
      <c r="G254" s="132" t="s">
        <v>332</v>
      </c>
      <c r="H254" s="133">
        <v>35.04</v>
      </c>
      <c r="I254" s="134"/>
      <c r="J254" s="135">
        <f>ROUND(I254*H254,2)</f>
        <v>0</v>
      </c>
      <c r="K254" s="131" t="s">
        <v>184</v>
      </c>
      <c r="L254" s="33"/>
      <c r="M254" s="136" t="s">
        <v>3</v>
      </c>
      <c r="N254" s="137" t="s">
        <v>48</v>
      </c>
      <c r="P254" s="138">
        <f>O254*H254</f>
        <v>0</v>
      </c>
      <c r="Q254" s="138">
        <v>0.00039825</v>
      </c>
      <c r="R254" s="138">
        <f>Q254*H254</f>
        <v>0.01395468</v>
      </c>
      <c r="S254" s="138">
        <v>0</v>
      </c>
      <c r="T254" s="139">
        <f>S254*H254</f>
        <v>0</v>
      </c>
      <c r="AR254" s="140" t="s">
        <v>237</v>
      </c>
      <c r="AT254" s="140" t="s">
        <v>180</v>
      </c>
      <c r="AU254" s="140" t="s">
        <v>87</v>
      </c>
      <c r="AY254" s="18" t="s">
        <v>177</v>
      </c>
      <c r="BE254" s="141">
        <f>IF(N254="základní",J254,0)</f>
        <v>0</v>
      </c>
      <c r="BF254" s="141">
        <f>IF(N254="snížená",J254,0)</f>
        <v>0</v>
      </c>
      <c r="BG254" s="141">
        <f>IF(N254="zákl. přenesená",J254,0)</f>
        <v>0</v>
      </c>
      <c r="BH254" s="141">
        <f>IF(N254="sníž. přenesená",J254,0)</f>
        <v>0</v>
      </c>
      <c r="BI254" s="141">
        <f>IF(N254="nulová",J254,0)</f>
        <v>0</v>
      </c>
      <c r="BJ254" s="18" t="s">
        <v>85</v>
      </c>
      <c r="BK254" s="141">
        <f>ROUND(I254*H254,2)</f>
        <v>0</v>
      </c>
      <c r="BL254" s="18" t="s">
        <v>237</v>
      </c>
      <c r="BM254" s="140" t="s">
        <v>738</v>
      </c>
    </row>
    <row r="255" spans="2:47" s="1" customFormat="1" ht="19.5">
      <c r="B255" s="33"/>
      <c r="D255" s="142" t="s">
        <v>187</v>
      </c>
      <c r="F255" s="143" t="s">
        <v>739</v>
      </c>
      <c r="I255" s="144"/>
      <c r="L255" s="33"/>
      <c r="M255" s="145"/>
      <c r="T255" s="54"/>
      <c r="AT255" s="18" t="s">
        <v>187</v>
      </c>
      <c r="AU255" s="18" t="s">
        <v>87</v>
      </c>
    </row>
    <row r="256" spans="2:47" s="1" customFormat="1" ht="11.25">
      <c r="B256" s="33"/>
      <c r="D256" s="146" t="s">
        <v>189</v>
      </c>
      <c r="F256" s="147" t="s">
        <v>740</v>
      </c>
      <c r="I256" s="144"/>
      <c r="L256" s="33"/>
      <c r="M256" s="145"/>
      <c r="T256" s="54"/>
      <c r="AT256" s="18" t="s">
        <v>189</v>
      </c>
      <c r="AU256" s="18" t="s">
        <v>87</v>
      </c>
    </row>
    <row r="257" spans="2:47" s="1" customFormat="1" ht="48.75">
      <c r="B257" s="33"/>
      <c r="D257" s="142" t="s">
        <v>191</v>
      </c>
      <c r="F257" s="148" t="s">
        <v>741</v>
      </c>
      <c r="I257" s="144"/>
      <c r="L257" s="33"/>
      <c r="M257" s="145"/>
      <c r="T257" s="54"/>
      <c r="AT257" s="18" t="s">
        <v>191</v>
      </c>
      <c r="AU257" s="18" t="s">
        <v>87</v>
      </c>
    </row>
    <row r="258" spans="2:51" s="12" customFormat="1" ht="11.25">
      <c r="B258" s="149"/>
      <c r="D258" s="142" t="s">
        <v>193</v>
      </c>
      <c r="E258" s="150" t="s">
        <v>3</v>
      </c>
      <c r="F258" s="151" t="s">
        <v>742</v>
      </c>
      <c r="H258" s="152">
        <v>35.04</v>
      </c>
      <c r="I258" s="153"/>
      <c r="L258" s="149"/>
      <c r="M258" s="154"/>
      <c r="T258" s="155"/>
      <c r="AT258" s="150" t="s">
        <v>193</v>
      </c>
      <c r="AU258" s="150" t="s">
        <v>87</v>
      </c>
      <c r="AV258" s="12" t="s">
        <v>87</v>
      </c>
      <c r="AW258" s="12" t="s">
        <v>36</v>
      </c>
      <c r="AX258" s="12" t="s">
        <v>85</v>
      </c>
      <c r="AY258" s="150" t="s">
        <v>177</v>
      </c>
    </row>
    <row r="259" spans="2:65" s="1" customFormat="1" ht="24.2" customHeight="1">
      <c r="B259" s="128"/>
      <c r="C259" s="129" t="s">
        <v>527</v>
      </c>
      <c r="D259" s="129" t="s">
        <v>180</v>
      </c>
      <c r="E259" s="130" t="s">
        <v>743</v>
      </c>
      <c r="F259" s="131" t="s">
        <v>744</v>
      </c>
      <c r="G259" s="132" t="s">
        <v>332</v>
      </c>
      <c r="H259" s="133">
        <v>143.1</v>
      </c>
      <c r="I259" s="134"/>
      <c r="J259" s="135">
        <f>ROUND(I259*H259,2)</f>
        <v>0</v>
      </c>
      <c r="K259" s="131" t="s">
        <v>184</v>
      </c>
      <c r="L259" s="33"/>
      <c r="M259" s="136" t="s">
        <v>3</v>
      </c>
      <c r="N259" s="137" t="s">
        <v>48</v>
      </c>
      <c r="P259" s="138">
        <f>O259*H259</f>
        <v>0</v>
      </c>
      <c r="Q259" s="138">
        <v>0.00039825</v>
      </c>
      <c r="R259" s="138">
        <f>Q259*H259</f>
        <v>0.056989575</v>
      </c>
      <c r="S259" s="138">
        <v>0</v>
      </c>
      <c r="T259" s="139">
        <f>S259*H259</f>
        <v>0</v>
      </c>
      <c r="AR259" s="140" t="s">
        <v>237</v>
      </c>
      <c r="AT259" s="140" t="s">
        <v>180</v>
      </c>
      <c r="AU259" s="140" t="s">
        <v>87</v>
      </c>
      <c r="AY259" s="18" t="s">
        <v>177</v>
      </c>
      <c r="BE259" s="141">
        <f>IF(N259="základní",J259,0)</f>
        <v>0</v>
      </c>
      <c r="BF259" s="141">
        <f>IF(N259="snížená",J259,0)</f>
        <v>0</v>
      </c>
      <c r="BG259" s="141">
        <f>IF(N259="zákl. přenesená",J259,0)</f>
        <v>0</v>
      </c>
      <c r="BH259" s="141">
        <f>IF(N259="sníž. přenesená",J259,0)</f>
        <v>0</v>
      </c>
      <c r="BI259" s="141">
        <f>IF(N259="nulová",J259,0)</f>
        <v>0</v>
      </c>
      <c r="BJ259" s="18" t="s">
        <v>85</v>
      </c>
      <c r="BK259" s="141">
        <f>ROUND(I259*H259,2)</f>
        <v>0</v>
      </c>
      <c r="BL259" s="18" t="s">
        <v>237</v>
      </c>
      <c r="BM259" s="140" t="s">
        <v>745</v>
      </c>
    </row>
    <row r="260" spans="2:47" s="1" customFormat="1" ht="19.5">
      <c r="B260" s="33"/>
      <c r="D260" s="142" t="s">
        <v>187</v>
      </c>
      <c r="F260" s="143" t="s">
        <v>746</v>
      </c>
      <c r="I260" s="144"/>
      <c r="L260" s="33"/>
      <c r="M260" s="145"/>
      <c r="T260" s="54"/>
      <c r="AT260" s="18" t="s">
        <v>187</v>
      </c>
      <c r="AU260" s="18" t="s">
        <v>87</v>
      </c>
    </row>
    <row r="261" spans="2:47" s="1" customFormat="1" ht="11.25">
      <c r="B261" s="33"/>
      <c r="D261" s="146" t="s">
        <v>189</v>
      </c>
      <c r="F261" s="147" t="s">
        <v>747</v>
      </c>
      <c r="I261" s="144"/>
      <c r="L261" s="33"/>
      <c r="M261" s="145"/>
      <c r="T261" s="54"/>
      <c r="AT261" s="18" t="s">
        <v>189</v>
      </c>
      <c r="AU261" s="18" t="s">
        <v>87</v>
      </c>
    </row>
    <row r="262" spans="2:47" s="1" customFormat="1" ht="48.75">
      <c r="B262" s="33"/>
      <c r="D262" s="142" t="s">
        <v>191</v>
      </c>
      <c r="F262" s="148" t="s">
        <v>741</v>
      </c>
      <c r="I262" s="144"/>
      <c r="L262" s="33"/>
      <c r="M262" s="145"/>
      <c r="T262" s="54"/>
      <c r="AT262" s="18" t="s">
        <v>191</v>
      </c>
      <c r="AU262" s="18" t="s">
        <v>87</v>
      </c>
    </row>
    <row r="263" spans="2:51" s="12" customFormat="1" ht="11.25">
      <c r="B263" s="149"/>
      <c r="D263" s="142" t="s">
        <v>193</v>
      </c>
      <c r="E263" s="150" t="s">
        <v>3</v>
      </c>
      <c r="F263" s="151" t="s">
        <v>748</v>
      </c>
      <c r="H263" s="152">
        <v>131</v>
      </c>
      <c r="I263" s="153"/>
      <c r="L263" s="149"/>
      <c r="M263" s="154"/>
      <c r="T263" s="155"/>
      <c r="AT263" s="150" t="s">
        <v>193</v>
      </c>
      <c r="AU263" s="150" t="s">
        <v>87</v>
      </c>
      <c r="AV263" s="12" t="s">
        <v>87</v>
      </c>
      <c r="AW263" s="12" t="s">
        <v>36</v>
      </c>
      <c r="AX263" s="12" t="s">
        <v>77</v>
      </c>
      <c r="AY263" s="150" t="s">
        <v>177</v>
      </c>
    </row>
    <row r="264" spans="2:51" s="13" customFormat="1" ht="11.25">
      <c r="B264" s="156"/>
      <c r="D264" s="142" t="s">
        <v>193</v>
      </c>
      <c r="E264" s="157" t="s">
        <v>3</v>
      </c>
      <c r="F264" s="158" t="s">
        <v>749</v>
      </c>
      <c r="H264" s="157" t="s">
        <v>3</v>
      </c>
      <c r="I264" s="159"/>
      <c r="L264" s="156"/>
      <c r="M264" s="160"/>
      <c r="T264" s="161"/>
      <c r="AT264" s="157" t="s">
        <v>193</v>
      </c>
      <c r="AU264" s="157" t="s">
        <v>87</v>
      </c>
      <c r="AV264" s="13" t="s">
        <v>85</v>
      </c>
      <c r="AW264" s="13" t="s">
        <v>36</v>
      </c>
      <c r="AX264" s="13" t="s">
        <v>77</v>
      </c>
      <c r="AY264" s="157" t="s">
        <v>177</v>
      </c>
    </row>
    <row r="265" spans="2:51" s="12" customFormat="1" ht="11.25">
      <c r="B265" s="149"/>
      <c r="D265" s="142" t="s">
        <v>193</v>
      </c>
      <c r="E265" s="150" t="s">
        <v>3</v>
      </c>
      <c r="F265" s="151" t="s">
        <v>750</v>
      </c>
      <c r="H265" s="152">
        <v>12.1</v>
      </c>
      <c r="I265" s="153"/>
      <c r="L265" s="149"/>
      <c r="M265" s="154"/>
      <c r="T265" s="155"/>
      <c r="AT265" s="150" t="s">
        <v>193</v>
      </c>
      <c r="AU265" s="150" t="s">
        <v>87</v>
      </c>
      <c r="AV265" s="12" t="s">
        <v>87</v>
      </c>
      <c r="AW265" s="12" t="s">
        <v>36</v>
      </c>
      <c r="AX265" s="12" t="s">
        <v>77</v>
      </c>
      <c r="AY265" s="150" t="s">
        <v>177</v>
      </c>
    </row>
    <row r="266" spans="2:51" s="15" customFormat="1" ht="11.25">
      <c r="B266" s="169"/>
      <c r="D266" s="142" t="s">
        <v>193</v>
      </c>
      <c r="E266" s="170" t="s">
        <v>3</v>
      </c>
      <c r="F266" s="171" t="s">
        <v>201</v>
      </c>
      <c r="H266" s="172">
        <v>143.1</v>
      </c>
      <c r="I266" s="173"/>
      <c r="L266" s="169"/>
      <c r="M266" s="174"/>
      <c r="T266" s="175"/>
      <c r="AT266" s="170" t="s">
        <v>193</v>
      </c>
      <c r="AU266" s="170" t="s">
        <v>87</v>
      </c>
      <c r="AV266" s="15" t="s">
        <v>185</v>
      </c>
      <c r="AW266" s="15" t="s">
        <v>36</v>
      </c>
      <c r="AX266" s="15" t="s">
        <v>85</v>
      </c>
      <c r="AY266" s="170" t="s">
        <v>177</v>
      </c>
    </row>
    <row r="267" spans="2:65" s="1" customFormat="1" ht="49.15" customHeight="1">
      <c r="B267" s="128"/>
      <c r="C267" s="179" t="s">
        <v>537</v>
      </c>
      <c r="D267" s="179" t="s">
        <v>484</v>
      </c>
      <c r="E267" s="180" t="s">
        <v>751</v>
      </c>
      <c r="F267" s="181" t="s">
        <v>752</v>
      </c>
      <c r="G267" s="182" t="s">
        <v>332</v>
      </c>
      <c r="H267" s="183">
        <v>213.648</v>
      </c>
      <c r="I267" s="184"/>
      <c r="J267" s="185">
        <f>ROUND(I267*H267,2)</f>
        <v>0</v>
      </c>
      <c r="K267" s="181" t="s">
        <v>184</v>
      </c>
      <c r="L267" s="186"/>
      <c r="M267" s="187" t="s">
        <v>3</v>
      </c>
      <c r="N267" s="188" t="s">
        <v>48</v>
      </c>
      <c r="P267" s="138">
        <f>O267*H267</f>
        <v>0</v>
      </c>
      <c r="Q267" s="138">
        <v>0.0053</v>
      </c>
      <c r="R267" s="138">
        <f>Q267*H267</f>
        <v>1.1323344</v>
      </c>
      <c r="S267" s="138">
        <v>0</v>
      </c>
      <c r="T267" s="139">
        <f>S267*H267</f>
        <v>0</v>
      </c>
      <c r="AR267" s="140" t="s">
        <v>537</v>
      </c>
      <c r="AT267" s="140" t="s">
        <v>484</v>
      </c>
      <c r="AU267" s="140" t="s">
        <v>87</v>
      </c>
      <c r="AY267" s="18" t="s">
        <v>177</v>
      </c>
      <c r="BE267" s="141">
        <f>IF(N267="základní",J267,0)</f>
        <v>0</v>
      </c>
      <c r="BF267" s="141">
        <f>IF(N267="snížená",J267,0)</f>
        <v>0</v>
      </c>
      <c r="BG267" s="141">
        <f>IF(N267="zákl. přenesená",J267,0)</f>
        <v>0</v>
      </c>
      <c r="BH267" s="141">
        <f>IF(N267="sníž. přenesená",J267,0)</f>
        <v>0</v>
      </c>
      <c r="BI267" s="141">
        <f>IF(N267="nulová",J267,0)</f>
        <v>0</v>
      </c>
      <c r="BJ267" s="18" t="s">
        <v>85</v>
      </c>
      <c r="BK267" s="141">
        <f>ROUND(I267*H267,2)</f>
        <v>0</v>
      </c>
      <c r="BL267" s="18" t="s">
        <v>237</v>
      </c>
      <c r="BM267" s="140" t="s">
        <v>753</v>
      </c>
    </row>
    <row r="268" spans="2:47" s="1" customFormat="1" ht="29.25">
      <c r="B268" s="33"/>
      <c r="D268" s="142" t="s">
        <v>187</v>
      </c>
      <c r="F268" s="143" t="s">
        <v>752</v>
      </c>
      <c r="I268" s="144"/>
      <c r="L268" s="33"/>
      <c r="M268" s="145"/>
      <c r="T268" s="54"/>
      <c r="AT268" s="18" t="s">
        <v>187</v>
      </c>
      <c r="AU268" s="18" t="s">
        <v>87</v>
      </c>
    </row>
    <row r="269" spans="2:51" s="12" customFormat="1" ht="11.25">
      <c r="B269" s="149"/>
      <c r="D269" s="142" t="s">
        <v>193</v>
      </c>
      <c r="E269" s="150" t="s">
        <v>3</v>
      </c>
      <c r="F269" s="151" t="s">
        <v>754</v>
      </c>
      <c r="H269" s="152">
        <v>178.04</v>
      </c>
      <c r="I269" s="153"/>
      <c r="L269" s="149"/>
      <c r="M269" s="154"/>
      <c r="T269" s="155"/>
      <c r="AT269" s="150" t="s">
        <v>193</v>
      </c>
      <c r="AU269" s="150" t="s">
        <v>87</v>
      </c>
      <c r="AV269" s="12" t="s">
        <v>87</v>
      </c>
      <c r="AW269" s="12" t="s">
        <v>36</v>
      </c>
      <c r="AX269" s="12" t="s">
        <v>85</v>
      </c>
      <c r="AY269" s="150" t="s">
        <v>177</v>
      </c>
    </row>
    <row r="270" spans="2:51" s="12" customFormat="1" ht="11.25">
      <c r="B270" s="149"/>
      <c r="D270" s="142" t="s">
        <v>193</v>
      </c>
      <c r="F270" s="151" t="s">
        <v>755</v>
      </c>
      <c r="H270" s="152">
        <v>213.648</v>
      </c>
      <c r="I270" s="153"/>
      <c r="L270" s="149"/>
      <c r="M270" s="154"/>
      <c r="T270" s="155"/>
      <c r="AT270" s="150" t="s">
        <v>193</v>
      </c>
      <c r="AU270" s="150" t="s">
        <v>87</v>
      </c>
      <c r="AV270" s="12" t="s">
        <v>87</v>
      </c>
      <c r="AW270" s="12" t="s">
        <v>4</v>
      </c>
      <c r="AX270" s="12" t="s">
        <v>85</v>
      </c>
      <c r="AY270" s="150" t="s">
        <v>177</v>
      </c>
    </row>
    <row r="271" spans="2:65" s="1" customFormat="1" ht="33" customHeight="1">
      <c r="B271" s="128"/>
      <c r="C271" s="129" t="s">
        <v>756</v>
      </c>
      <c r="D271" s="129" t="s">
        <v>180</v>
      </c>
      <c r="E271" s="130" t="s">
        <v>757</v>
      </c>
      <c r="F271" s="131" t="s">
        <v>758</v>
      </c>
      <c r="G271" s="132" t="s">
        <v>183</v>
      </c>
      <c r="H271" s="133">
        <v>1.24</v>
      </c>
      <c r="I271" s="134"/>
      <c r="J271" s="135">
        <f>ROUND(I271*H271,2)</f>
        <v>0</v>
      </c>
      <c r="K271" s="131" t="s">
        <v>184</v>
      </c>
      <c r="L271" s="33"/>
      <c r="M271" s="136" t="s">
        <v>3</v>
      </c>
      <c r="N271" s="137" t="s">
        <v>48</v>
      </c>
      <c r="P271" s="138">
        <f>O271*H271</f>
        <v>0</v>
      </c>
      <c r="Q271" s="138">
        <v>0</v>
      </c>
      <c r="R271" s="138">
        <f>Q271*H271</f>
        <v>0</v>
      </c>
      <c r="S271" s="138">
        <v>0</v>
      </c>
      <c r="T271" s="139">
        <f>S271*H271</f>
        <v>0</v>
      </c>
      <c r="AR271" s="140" t="s">
        <v>237</v>
      </c>
      <c r="AT271" s="140" t="s">
        <v>180</v>
      </c>
      <c r="AU271" s="140" t="s">
        <v>87</v>
      </c>
      <c r="AY271" s="18" t="s">
        <v>177</v>
      </c>
      <c r="BE271" s="141">
        <f>IF(N271="základní",J271,0)</f>
        <v>0</v>
      </c>
      <c r="BF271" s="141">
        <f>IF(N271="snížená",J271,0)</f>
        <v>0</v>
      </c>
      <c r="BG271" s="141">
        <f>IF(N271="zákl. přenesená",J271,0)</f>
        <v>0</v>
      </c>
      <c r="BH271" s="141">
        <f>IF(N271="sníž. přenesená",J271,0)</f>
        <v>0</v>
      </c>
      <c r="BI271" s="141">
        <f>IF(N271="nulová",J271,0)</f>
        <v>0</v>
      </c>
      <c r="BJ271" s="18" t="s">
        <v>85</v>
      </c>
      <c r="BK271" s="141">
        <f>ROUND(I271*H271,2)</f>
        <v>0</v>
      </c>
      <c r="BL271" s="18" t="s">
        <v>237</v>
      </c>
      <c r="BM271" s="140" t="s">
        <v>759</v>
      </c>
    </row>
    <row r="272" spans="2:47" s="1" customFormat="1" ht="29.25">
      <c r="B272" s="33"/>
      <c r="D272" s="142" t="s">
        <v>187</v>
      </c>
      <c r="F272" s="143" t="s">
        <v>760</v>
      </c>
      <c r="I272" s="144"/>
      <c r="L272" s="33"/>
      <c r="M272" s="145"/>
      <c r="T272" s="54"/>
      <c r="AT272" s="18" t="s">
        <v>187</v>
      </c>
      <c r="AU272" s="18" t="s">
        <v>87</v>
      </c>
    </row>
    <row r="273" spans="2:47" s="1" customFormat="1" ht="11.25">
      <c r="B273" s="33"/>
      <c r="D273" s="146" t="s">
        <v>189</v>
      </c>
      <c r="F273" s="147" t="s">
        <v>761</v>
      </c>
      <c r="I273" s="144"/>
      <c r="L273" s="33"/>
      <c r="M273" s="145"/>
      <c r="T273" s="54"/>
      <c r="AT273" s="18" t="s">
        <v>189</v>
      </c>
      <c r="AU273" s="18" t="s">
        <v>87</v>
      </c>
    </row>
    <row r="274" spans="2:47" s="1" customFormat="1" ht="126.75">
      <c r="B274" s="33"/>
      <c r="D274" s="142" t="s">
        <v>191</v>
      </c>
      <c r="F274" s="148" t="s">
        <v>762</v>
      </c>
      <c r="I274" s="144"/>
      <c r="L274" s="33"/>
      <c r="M274" s="145"/>
      <c r="T274" s="54"/>
      <c r="AT274" s="18" t="s">
        <v>191</v>
      </c>
      <c r="AU274" s="18" t="s">
        <v>87</v>
      </c>
    </row>
    <row r="275" spans="2:65" s="1" customFormat="1" ht="24.2" customHeight="1">
      <c r="B275" s="128"/>
      <c r="C275" s="129" t="s">
        <v>763</v>
      </c>
      <c r="D275" s="129" t="s">
        <v>180</v>
      </c>
      <c r="E275" s="130" t="s">
        <v>764</v>
      </c>
      <c r="F275" s="131" t="s">
        <v>765</v>
      </c>
      <c r="G275" s="132" t="s">
        <v>183</v>
      </c>
      <c r="H275" s="133">
        <v>1.24</v>
      </c>
      <c r="I275" s="134"/>
      <c r="J275" s="135">
        <f>ROUND(I275*H275,2)</f>
        <v>0</v>
      </c>
      <c r="K275" s="131" t="s">
        <v>184</v>
      </c>
      <c r="L275" s="33"/>
      <c r="M275" s="136" t="s">
        <v>3</v>
      </c>
      <c r="N275" s="137" t="s">
        <v>48</v>
      </c>
      <c r="P275" s="138">
        <f>O275*H275</f>
        <v>0</v>
      </c>
      <c r="Q275" s="138">
        <v>0</v>
      </c>
      <c r="R275" s="138">
        <f>Q275*H275</f>
        <v>0</v>
      </c>
      <c r="S275" s="138">
        <v>0</v>
      </c>
      <c r="T275" s="139">
        <f>S275*H275</f>
        <v>0</v>
      </c>
      <c r="AR275" s="140" t="s">
        <v>237</v>
      </c>
      <c r="AT275" s="140" t="s">
        <v>180</v>
      </c>
      <c r="AU275" s="140" t="s">
        <v>87</v>
      </c>
      <c r="AY275" s="18" t="s">
        <v>177</v>
      </c>
      <c r="BE275" s="141">
        <f>IF(N275="základní",J275,0)</f>
        <v>0</v>
      </c>
      <c r="BF275" s="141">
        <f>IF(N275="snížená",J275,0)</f>
        <v>0</v>
      </c>
      <c r="BG275" s="141">
        <f>IF(N275="zákl. přenesená",J275,0)</f>
        <v>0</v>
      </c>
      <c r="BH275" s="141">
        <f>IF(N275="sníž. přenesená",J275,0)</f>
        <v>0</v>
      </c>
      <c r="BI275" s="141">
        <f>IF(N275="nulová",J275,0)</f>
        <v>0</v>
      </c>
      <c r="BJ275" s="18" t="s">
        <v>85</v>
      </c>
      <c r="BK275" s="141">
        <f>ROUND(I275*H275,2)</f>
        <v>0</v>
      </c>
      <c r="BL275" s="18" t="s">
        <v>237</v>
      </c>
      <c r="BM275" s="140" t="s">
        <v>766</v>
      </c>
    </row>
    <row r="276" spans="2:47" s="1" customFormat="1" ht="29.25">
      <c r="B276" s="33"/>
      <c r="D276" s="142" t="s">
        <v>187</v>
      </c>
      <c r="F276" s="143" t="s">
        <v>767</v>
      </c>
      <c r="I276" s="144"/>
      <c r="L276" s="33"/>
      <c r="M276" s="145"/>
      <c r="T276" s="54"/>
      <c r="AT276" s="18" t="s">
        <v>187</v>
      </c>
      <c r="AU276" s="18" t="s">
        <v>87</v>
      </c>
    </row>
    <row r="277" spans="2:47" s="1" customFormat="1" ht="11.25">
      <c r="B277" s="33"/>
      <c r="D277" s="146" t="s">
        <v>189</v>
      </c>
      <c r="F277" s="147" t="s">
        <v>768</v>
      </c>
      <c r="I277" s="144"/>
      <c r="L277" s="33"/>
      <c r="M277" s="145"/>
      <c r="T277" s="54"/>
      <c r="AT277" s="18" t="s">
        <v>189</v>
      </c>
      <c r="AU277" s="18" t="s">
        <v>87</v>
      </c>
    </row>
    <row r="278" spans="2:47" s="1" customFormat="1" ht="126.75">
      <c r="B278" s="33"/>
      <c r="D278" s="142" t="s">
        <v>191</v>
      </c>
      <c r="F278" s="148" t="s">
        <v>762</v>
      </c>
      <c r="I278" s="144"/>
      <c r="L278" s="33"/>
      <c r="M278" s="145"/>
      <c r="T278" s="54"/>
      <c r="AT278" s="18" t="s">
        <v>191</v>
      </c>
      <c r="AU278" s="18" t="s">
        <v>87</v>
      </c>
    </row>
    <row r="279" spans="2:63" s="11" customFormat="1" ht="22.9" customHeight="1">
      <c r="B279" s="116"/>
      <c r="D279" s="117" t="s">
        <v>76</v>
      </c>
      <c r="E279" s="126" t="s">
        <v>769</v>
      </c>
      <c r="F279" s="126" t="s">
        <v>770</v>
      </c>
      <c r="I279" s="119"/>
      <c r="J279" s="127">
        <f>BK279</f>
        <v>0</v>
      </c>
      <c r="L279" s="116"/>
      <c r="M279" s="121"/>
      <c r="P279" s="122">
        <f>SUM(P280:P296)</f>
        <v>0</v>
      </c>
      <c r="R279" s="122">
        <f>SUM(R280:R296)</f>
        <v>0.31363199999999997</v>
      </c>
      <c r="T279" s="123">
        <f>SUM(T280:T296)</f>
        <v>0</v>
      </c>
      <c r="AR279" s="117" t="s">
        <v>87</v>
      </c>
      <c r="AT279" s="124" t="s">
        <v>76</v>
      </c>
      <c r="AU279" s="124" t="s">
        <v>85</v>
      </c>
      <c r="AY279" s="117" t="s">
        <v>177</v>
      </c>
      <c r="BK279" s="125">
        <f>SUM(BK280:BK296)</f>
        <v>0</v>
      </c>
    </row>
    <row r="280" spans="2:65" s="1" customFormat="1" ht="24.2" customHeight="1">
      <c r="B280" s="128"/>
      <c r="C280" s="129" t="s">
        <v>771</v>
      </c>
      <c r="D280" s="129" t="s">
        <v>180</v>
      </c>
      <c r="E280" s="130" t="s">
        <v>772</v>
      </c>
      <c r="F280" s="131" t="s">
        <v>773</v>
      </c>
      <c r="G280" s="132" t="s">
        <v>332</v>
      </c>
      <c r="H280" s="133">
        <v>36.3</v>
      </c>
      <c r="I280" s="134"/>
      <c r="J280" s="135">
        <f>ROUND(I280*H280,2)</f>
        <v>0</v>
      </c>
      <c r="K280" s="131" t="s">
        <v>184</v>
      </c>
      <c r="L280" s="33"/>
      <c r="M280" s="136" t="s">
        <v>3</v>
      </c>
      <c r="N280" s="137" t="s">
        <v>48</v>
      </c>
      <c r="P280" s="138">
        <f>O280*H280</f>
        <v>0</v>
      </c>
      <c r="Q280" s="138">
        <v>0.006</v>
      </c>
      <c r="R280" s="138">
        <f>Q280*H280</f>
        <v>0.2178</v>
      </c>
      <c r="S280" s="138">
        <v>0</v>
      </c>
      <c r="T280" s="139">
        <f>S280*H280</f>
        <v>0</v>
      </c>
      <c r="AR280" s="140" t="s">
        <v>237</v>
      </c>
      <c r="AT280" s="140" t="s">
        <v>180</v>
      </c>
      <c r="AU280" s="140" t="s">
        <v>87</v>
      </c>
      <c r="AY280" s="18" t="s">
        <v>177</v>
      </c>
      <c r="BE280" s="141">
        <f>IF(N280="základní",J280,0)</f>
        <v>0</v>
      </c>
      <c r="BF280" s="141">
        <f>IF(N280="snížená",J280,0)</f>
        <v>0</v>
      </c>
      <c r="BG280" s="141">
        <f>IF(N280="zákl. přenesená",J280,0)</f>
        <v>0</v>
      </c>
      <c r="BH280" s="141">
        <f>IF(N280="sníž. přenesená",J280,0)</f>
        <v>0</v>
      </c>
      <c r="BI280" s="141">
        <f>IF(N280="nulová",J280,0)</f>
        <v>0</v>
      </c>
      <c r="BJ280" s="18" t="s">
        <v>85</v>
      </c>
      <c r="BK280" s="141">
        <f>ROUND(I280*H280,2)</f>
        <v>0</v>
      </c>
      <c r="BL280" s="18" t="s">
        <v>237</v>
      </c>
      <c r="BM280" s="140" t="s">
        <v>774</v>
      </c>
    </row>
    <row r="281" spans="2:47" s="1" customFormat="1" ht="19.5">
      <c r="B281" s="33"/>
      <c r="D281" s="142" t="s">
        <v>187</v>
      </c>
      <c r="F281" s="143" t="s">
        <v>775</v>
      </c>
      <c r="I281" s="144"/>
      <c r="L281" s="33"/>
      <c r="M281" s="145"/>
      <c r="T281" s="54"/>
      <c r="AT281" s="18" t="s">
        <v>187</v>
      </c>
      <c r="AU281" s="18" t="s">
        <v>87</v>
      </c>
    </row>
    <row r="282" spans="2:47" s="1" customFormat="1" ht="11.25">
      <c r="B282" s="33"/>
      <c r="D282" s="146" t="s">
        <v>189</v>
      </c>
      <c r="F282" s="147" t="s">
        <v>776</v>
      </c>
      <c r="I282" s="144"/>
      <c r="L282" s="33"/>
      <c r="M282" s="145"/>
      <c r="T282" s="54"/>
      <c r="AT282" s="18" t="s">
        <v>189</v>
      </c>
      <c r="AU282" s="18" t="s">
        <v>87</v>
      </c>
    </row>
    <row r="283" spans="2:47" s="1" customFormat="1" ht="97.5">
      <c r="B283" s="33"/>
      <c r="D283" s="142" t="s">
        <v>191</v>
      </c>
      <c r="F283" s="148" t="s">
        <v>777</v>
      </c>
      <c r="I283" s="144"/>
      <c r="L283" s="33"/>
      <c r="M283" s="145"/>
      <c r="T283" s="54"/>
      <c r="AT283" s="18" t="s">
        <v>191</v>
      </c>
      <c r="AU283" s="18" t="s">
        <v>87</v>
      </c>
    </row>
    <row r="284" spans="2:51" s="13" customFormat="1" ht="11.25">
      <c r="B284" s="156"/>
      <c r="D284" s="142" t="s">
        <v>193</v>
      </c>
      <c r="E284" s="157" t="s">
        <v>3</v>
      </c>
      <c r="F284" s="158" t="s">
        <v>778</v>
      </c>
      <c r="H284" s="157" t="s">
        <v>3</v>
      </c>
      <c r="I284" s="159"/>
      <c r="L284" s="156"/>
      <c r="M284" s="160"/>
      <c r="T284" s="161"/>
      <c r="AT284" s="157" t="s">
        <v>193</v>
      </c>
      <c r="AU284" s="157" t="s">
        <v>87</v>
      </c>
      <c r="AV284" s="13" t="s">
        <v>85</v>
      </c>
      <c r="AW284" s="13" t="s">
        <v>36</v>
      </c>
      <c r="AX284" s="13" t="s">
        <v>77</v>
      </c>
      <c r="AY284" s="157" t="s">
        <v>177</v>
      </c>
    </row>
    <row r="285" spans="2:51" s="12" customFormat="1" ht="11.25">
      <c r="B285" s="149"/>
      <c r="D285" s="142" t="s">
        <v>193</v>
      </c>
      <c r="E285" s="150" t="s">
        <v>3</v>
      </c>
      <c r="F285" s="151" t="s">
        <v>779</v>
      </c>
      <c r="H285" s="152">
        <v>36.3</v>
      </c>
      <c r="I285" s="153"/>
      <c r="L285" s="149"/>
      <c r="M285" s="154"/>
      <c r="T285" s="155"/>
      <c r="AT285" s="150" t="s">
        <v>193</v>
      </c>
      <c r="AU285" s="150" t="s">
        <v>87</v>
      </c>
      <c r="AV285" s="12" t="s">
        <v>87</v>
      </c>
      <c r="AW285" s="12" t="s">
        <v>36</v>
      </c>
      <c r="AX285" s="12" t="s">
        <v>85</v>
      </c>
      <c r="AY285" s="150" t="s">
        <v>177</v>
      </c>
    </row>
    <row r="286" spans="2:65" s="1" customFormat="1" ht="24.2" customHeight="1">
      <c r="B286" s="128"/>
      <c r="C286" s="179" t="s">
        <v>780</v>
      </c>
      <c r="D286" s="179" t="s">
        <v>484</v>
      </c>
      <c r="E286" s="180" t="s">
        <v>781</v>
      </c>
      <c r="F286" s="181" t="s">
        <v>782</v>
      </c>
      <c r="G286" s="182" t="s">
        <v>332</v>
      </c>
      <c r="H286" s="183">
        <v>39.93</v>
      </c>
      <c r="I286" s="184"/>
      <c r="J286" s="185">
        <f>ROUND(I286*H286,2)</f>
        <v>0</v>
      </c>
      <c r="K286" s="181" t="s">
        <v>184</v>
      </c>
      <c r="L286" s="186"/>
      <c r="M286" s="187" t="s">
        <v>3</v>
      </c>
      <c r="N286" s="188" t="s">
        <v>48</v>
      </c>
      <c r="P286" s="138">
        <f>O286*H286</f>
        <v>0</v>
      </c>
      <c r="Q286" s="138">
        <v>0.0024</v>
      </c>
      <c r="R286" s="138">
        <f>Q286*H286</f>
        <v>0.09583199999999999</v>
      </c>
      <c r="S286" s="138">
        <v>0</v>
      </c>
      <c r="T286" s="139">
        <f>S286*H286</f>
        <v>0</v>
      </c>
      <c r="AR286" s="140" t="s">
        <v>537</v>
      </c>
      <c r="AT286" s="140" t="s">
        <v>484</v>
      </c>
      <c r="AU286" s="140" t="s">
        <v>87</v>
      </c>
      <c r="AY286" s="18" t="s">
        <v>177</v>
      </c>
      <c r="BE286" s="141">
        <f>IF(N286="základní",J286,0)</f>
        <v>0</v>
      </c>
      <c r="BF286" s="141">
        <f>IF(N286="snížená",J286,0)</f>
        <v>0</v>
      </c>
      <c r="BG286" s="141">
        <f>IF(N286="zákl. přenesená",J286,0)</f>
        <v>0</v>
      </c>
      <c r="BH286" s="141">
        <f>IF(N286="sníž. přenesená",J286,0)</f>
        <v>0</v>
      </c>
      <c r="BI286" s="141">
        <f>IF(N286="nulová",J286,0)</f>
        <v>0</v>
      </c>
      <c r="BJ286" s="18" t="s">
        <v>85</v>
      </c>
      <c r="BK286" s="141">
        <f>ROUND(I286*H286,2)</f>
        <v>0</v>
      </c>
      <c r="BL286" s="18" t="s">
        <v>237</v>
      </c>
      <c r="BM286" s="140" t="s">
        <v>783</v>
      </c>
    </row>
    <row r="287" spans="2:47" s="1" customFormat="1" ht="19.5">
      <c r="B287" s="33"/>
      <c r="D287" s="142" t="s">
        <v>187</v>
      </c>
      <c r="F287" s="143" t="s">
        <v>784</v>
      </c>
      <c r="I287" s="144"/>
      <c r="L287" s="33"/>
      <c r="M287" s="145"/>
      <c r="T287" s="54"/>
      <c r="AT287" s="18" t="s">
        <v>187</v>
      </c>
      <c r="AU287" s="18" t="s">
        <v>87</v>
      </c>
    </row>
    <row r="288" spans="2:51" s="12" customFormat="1" ht="11.25">
      <c r="B288" s="149"/>
      <c r="D288" s="142" t="s">
        <v>193</v>
      </c>
      <c r="F288" s="151" t="s">
        <v>785</v>
      </c>
      <c r="H288" s="152">
        <v>39.93</v>
      </c>
      <c r="I288" s="153"/>
      <c r="L288" s="149"/>
      <c r="M288" s="154"/>
      <c r="T288" s="155"/>
      <c r="AT288" s="150" t="s">
        <v>193</v>
      </c>
      <c r="AU288" s="150" t="s">
        <v>87</v>
      </c>
      <c r="AV288" s="12" t="s">
        <v>87</v>
      </c>
      <c r="AW288" s="12" t="s">
        <v>4</v>
      </c>
      <c r="AX288" s="12" t="s">
        <v>85</v>
      </c>
      <c r="AY288" s="150" t="s">
        <v>177</v>
      </c>
    </row>
    <row r="289" spans="2:65" s="1" customFormat="1" ht="24.2" customHeight="1">
      <c r="B289" s="128"/>
      <c r="C289" s="129" t="s">
        <v>786</v>
      </c>
      <c r="D289" s="129" t="s">
        <v>180</v>
      </c>
      <c r="E289" s="130" t="s">
        <v>787</v>
      </c>
      <c r="F289" s="131" t="s">
        <v>788</v>
      </c>
      <c r="G289" s="132" t="s">
        <v>183</v>
      </c>
      <c r="H289" s="133">
        <v>0.314</v>
      </c>
      <c r="I289" s="134"/>
      <c r="J289" s="135">
        <f>ROUND(I289*H289,2)</f>
        <v>0</v>
      </c>
      <c r="K289" s="131" t="s">
        <v>184</v>
      </c>
      <c r="L289" s="33"/>
      <c r="M289" s="136" t="s">
        <v>3</v>
      </c>
      <c r="N289" s="137" t="s">
        <v>48</v>
      </c>
      <c r="P289" s="138">
        <f>O289*H289</f>
        <v>0</v>
      </c>
      <c r="Q289" s="138">
        <v>0</v>
      </c>
      <c r="R289" s="138">
        <f>Q289*H289</f>
        <v>0</v>
      </c>
      <c r="S289" s="138">
        <v>0</v>
      </c>
      <c r="T289" s="139">
        <f>S289*H289</f>
        <v>0</v>
      </c>
      <c r="AR289" s="140" t="s">
        <v>237</v>
      </c>
      <c r="AT289" s="140" t="s">
        <v>180</v>
      </c>
      <c r="AU289" s="140" t="s">
        <v>87</v>
      </c>
      <c r="AY289" s="18" t="s">
        <v>177</v>
      </c>
      <c r="BE289" s="141">
        <f>IF(N289="základní",J289,0)</f>
        <v>0</v>
      </c>
      <c r="BF289" s="141">
        <f>IF(N289="snížená",J289,0)</f>
        <v>0</v>
      </c>
      <c r="BG289" s="141">
        <f>IF(N289="zákl. přenesená",J289,0)</f>
        <v>0</v>
      </c>
      <c r="BH289" s="141">
        <f>IF(N289="sníž. přenesená",J289,0)</f>
        <v>0</v>
      </c>
      <c r="BI289" s="141">
        <f>IF(N289="nulová",J289,0)</f>
        <v>0</v>
      </c>
      <c r="BJ289" s="18" t="s">
        <v>85</v>
      </c>
      <c r="BK289" s="141">
        <f>ROUND(I289*H289,2)</f>
        <v>0</v>
      </c>
      <c r="BL289" s="18" t="s">
        <v>237</v>
      </c>
      <c r="BM289" s="140" t="s">
        <v>789</v>
      </c>
    </row>
    <row r="290" spans="2:47" s="1" customFormat="1" ht="29.25">
      <c r="B290" s="33"/>
      <c r="D290" s="142" t="s">
        <v>187</v>
      </c>
      <c r="F290" s="143" t="s">
        <v>790</v>
      </c>
      <c r="I290" s="144"/>
      <c r="L290" s="33"/>
      <c r="M290" s="145"/>
      <c r="T290" s="54"/>
      <c r="AT290" s="18" t="s">
        <v>187</v>
      </c>
      <c r="AU290" s="18" t="s">
        <v>87</v>
      </c>
    </row>
    <row r="291" spans="2:47" s="1" customFormat="1" ht="11.25">
      <c r="B291" s="33"/>
      <c r="D291" s="146" t="s">
        <v>189</v>
      </c>
      <c r="F291" s="147" t="s">
        <v>791</v>
      </c>
      <c r="I291" s="144"/>
      <c r="L291" s="33"/>
      <c r="M291" s="145"/>
      <c r="T291" s="54"/>
      <c r="AT291" s="18" t="s">
        <v>189</v>
      </c>
      <c r="AU291" s="18" t="s">
        <v>87</v>
      </c>
    </row>
    <row r="292" spans="2:47" s="1" customFormat="1" ht="126.75">
      <c r="B292" s="33"/>
      <c r="D292" s="142" t="s">
        <v>191</v>
      </c>
      <c r="F292" s="148" t="s">
        <v>792</v>
      </c>
      <c r="I292" s="144"/>
      <c r="L292" s="33"/>
      <c r="M292" s="145"/>
      <c r="T292" s="54"/>
      <c r="AT292" s="18" t="s">
        <v>191</v>
      </c>
      <c r="AU292" s="18" t="s">
        <v>87</v>
      </c>
    </row>
    <row r="293" spans="2:65" s="1" customFormat="1" ht="24.2" customHeight="1">
      <c r="B293" s="128"/>
      <c r="C293" s="129" t="s">
        <v>793</v>
      </c>
      <c r="D293" s="129" t="s">
        <v>180</v>
      </c>
      <c r="E293" s="130" t="s">
        <v>794</v>
      </c>
      <c r="F293" s="131" t="s">
        <v>795</v>
      </c>
      <c r="G293" s="132" t="s">
        <v>183</v>
      </c>
      <c r="H293" s="133">
        <v>0.314</v>
      </c>
      <c r="I293" s="134"/>
      <c r="J293" s="135">
        <f>ROUND(I293*H293,2)</f>
        <v>0</v>
      </c>
      <c r="K293" s="131" t="s">
        <v>184</v>
      </c>
      <c r="L293" s="33"/>
      <c r="M293" s="136" t="s">
        <v>3</v>
      </c>
      <c r="N293" s="137" t="s">
        <v>48</v>
      </c>
      <c r="P293" s="138">
        <f>O293*H293</f>
        <v>0</v>
      </c>
      <c r="Q293" s="138">
        <v>0</v>
      </c>
      <c r="R293" s="138">
        <f>Q293*H293</f>
        <v>0</v>
      </c>
      <c r="S293" s="138">
        <v>0</v>
      </c>
      <c r="T293" s="139">
        <f>S293*H293</f>
        <v>0</v>
      </c>
      <c r="AR293" s="140" t="s">
        <v>237</v>
      </c>
      <c r="AT293" s="140" t="s">
        <v>180</v>
      </c>
      <c r="AU293" s="140" t="s">
        <v>87</v>
      </c>
      <c r="AY293" s="18" t="s">
        <v>177</v>
      </c>
      <c r="BE293" s="141">
        <f>IF(N293="základní",J293,0)</f>
        <v>0</v>
      </c>
      <c r="BF293" s="141">
        <f>IF(N293="snížená",J293,0)</f>
        <v>0</v>
      </c>
      <c r="BG293" s="141">
        <f>IF(N293="zákl. přenesená",J293,0)</f>
        <v>0</v>
      </c>
      <c r="BH293" s="141">
        <f>IF(N293="sníž. přenesená",J293,0)</f>
        <v>0</v>
      </c>
      <c r="BI293" s="141">
        <f>IF(N293="nulová",J293,0)</f>
        <v>0</v>
      </c>
      <c r="BJ293" s="18" t="s">
        <v>85</v>
      </c>
      <c r="BK293" s="141">
        <f>ROUND(I293*H293,2)</f>
        <v>0</v>
      </c>
      <c r="BL293" s="18" t="s">
        <v>237</v>
      </c>
      <c r="BM293" s="140" t="s">
        <v>796</v>
      </c>
    </row>
    <row r="294" spans="2:47" s="1" customFormat="1" ht="29.25">
      <c r="B294" s="33"/>
      <c r="D294" s="142" t="s">
        <v>187</v>
      </c>
      <c r="F294" s="143" t="s">
        <v>797</v>
      </c>
      <c r="I294" s="144"/>
      <c r="L294" s="33"/>
      <c r="M294" s="145"/>
      <c r="T294" s="54"/>
      <c r="AT294" s="18" t="s">
        <v>187</v>
      </c>
      <c r="AU294" s="18" t="s">
        <v>87</v>
      </c>
    </row>
    <row r="295" spans="2:47" s="1" customFormat="1" ht="11.25">
      <c r="B295" s="33"/>
      <c r="D295" s="146" t="s">
        <v>189</v>
      </c>
      <c r="F295" s="147" t="s">
        <v>798</v>
      </c>
      <c r="I295" s="144"/>
      <c r="L295" s="33"/>
      <c r="M295" s="145"/>
      <c r="T295" s="54"/>
      <c r="AT295" s="18" t="s">
        <v>189</v>
      </c>
      <c r="AU295" s="18" t="s">
        <v>87</v>
      </c>
    </row>
    <row r="296" spans="2:47" s="1" customFormat="1" ht="126.75">
      <c r="B296" s="33"/>
      <c r="D296" s="142" t="s">
        <v>191</v>
      </c>
      <c r="F296" s="148" t="s">
        <v>792</v>
      </c>
      <c r="I296" s="144"/>
      <c r="L296" s="33"/>
      <c r="M296" s="145"/>
      <c r="T296" s="54"/>
      <c r="AT296" s="18" t="s">
        <v>191</v>
      </c>
      <c r="AU296" s="18" t="s">
        <v>87</v>
      </c>
    </row>
    <row r="297" spans="2:63" s="11" customFormat="1" ht="25.9" customHeight="1">
      <c r="B297" s="116"/>
      <c r="D297" s="117" t="s">
        <v>76</v>
      </c>
      <c r="E297" s="118" t="s">
        <v>313</v>
      </c>
      <c r="F297" s="118" t="s">
        <v>314</v>
      </c>
      <c r="I297" s="119"/>
      <c r="J297" s="120">
        <f>BK297</f>
        <v>0</v>
      </c>
      <c r="L297" s="116"/>
      <c r="M297" s="121"/>
      <c r="P297" s="122">
        <f>SUM(P298:P300)</f>
        <v>0</v>
      </c>
      <c r="R297" s="122">
        <f>SUM(R298:R300)</f>
        <v>0</v>
      </c>
      <c r="T297" s="123">
        <f>SUM(T298:T300)</f>
        <v>0</v>
      </c>
      <c r="AR297" s="117" t="s">
        <v>185</v>
      </c>
      <c r="AT297" s="124" t="s">
        <v>76</v>
      </c>
      <c r="AU297" s="124" t="s">
        <v>77</v>
      </c>
      <c r="AY297" s="117" t="s">
        <v>177</v>
      </c>
      <c r="BK297" s="125">
        <f>SUM(BK298:BK300)</f>
        <v>0</v>
      </c>
    </row>
    <row r="298" spans="2:65" s="1" customFormat="1" ht="16.5" customHeight="1">
      <c r="B298" s="128"/>
      <c r="C298" s="129" t="s">
        <v>799</v>
      </c>
      <c r="D298" s="129" t="s">
        <v>180</v>
      </c>
      <c r="E298" s="130" t="s">
        <v>528</v>
      </c>
      <c r="F298" s="131" t="s">
        <v>529</v>
      </c>
      <c r="G298" s="132" t="s">
        <v>305</v>
      </c>
      <c r="H298" s="133">
        <v>100</v>
      </c>
      <c r="I298" s="134"/>
      <c r="J298" s="135">
        <f>ROUND(I298*H298,2)</f>
        <v>0</v>
      </c>
      <c r="K298" s="131" t="s">
        <v>184</v>
      </c>
      <c r="L298" s="33"/>
      <c r="M298" s="136" t="s">
        <v>3</v>
      </c>
      <c r="N298" s="137" t="s">
        <v>48</v>
      </c>
      <c r="P298" s="138">
        <f>O298*H298</f>
        <v>0</v>
      </c>
      <c r="Q298" s="138">
        <v>0</v>
      </c>
      <c r="R298" s="138">
        <f>Q298*H298</f>
        <v>0</v>
      </c>
      <c r="S298" s="138">
        <v>0</v>
      </c>
      <c r="T298" s="139">
        <f>S298*H298</f>
        <v>0</v>
      </c>
      <c r="AR298" s="140" t="s">
        <v>318</v>
      </c>
      <c r="AT298" s="140" t="s">
        <v>180</v>
      </c>
      <c r="AU298" s="140" t="s">
        <v>85</v>
      </c>
      <c r="AY298" s="18" t="s">
        <v>177</v>
      </c>
      <c r="BE298" s="141">
        <f>IF(N298="základní",J298,0)</f>
        <v>0</v>
      </c>
      <c r="BF298" s="141">
        <f>IF(N298="snížená",J298,0)</f>
        <v>0</v>
      </c>
      <c r="BG298" s="141">
        <f>IF(N298="zákl. přenesená",J298,0)</f>
        <v>0</v>
      </c>
      <c r="BH298" s="141">
        <f>IF(N298="sníž. přenesená",J298,0)</f>
        <v>0</v>
      </c>
      <c r="BI298" s="141">
        <f>IF(N298="nulová",J298,0)</f>
        <v>0</v>
      </c>
      <c r="BJ298" s="18" t="s">
        <v>85</v>
      </c>
      <c r="BK298" s="141">
        <f>ROUND(I298*H298,2)</f>
        <v>0</v>
      </c>
      <c r="BL298" s="18" t="s">
        <v>318</v>
      </c>
      <c r="BM298" s="140" t="s">
        <v>800</v>
      </c>
    </row>
    <row r="299" spans="2:47" s="1" customFormat="1" ht="19.5">
      <c r="B299" s="33"/>
      <c r="D299" s="142" t="s">
        <v>187</v>
      </c>
      <c r="F299" s="143" t="s">
        <v>531</v>
      </c>
      <c r="I299" s="144"/>
      <c r="L299" s="33"/>
      <c r="M299" s="145"/>
      <c r="T299" s="54"/>
      <c r="AT299" s="18" t="s">
        <v>187</v>
      </c>
      <c r="AU299" s="18" t="s">
        <v>85</v>
      </c>
    </row>
    <row r="300" spans="2:47" s="1" customFormat="1" ht="11.25">
      <c r="B300" s="33"/>
      <c r="D300" s="146" t="s">
        <v>189</v>
      </c>
      <c r="F300" s="147" t="s">
        <v>532</v>
      </c>
      <c r="I300" s="144"/>
      <c r="L300" s="33"/>
      <c r="M300" s="189"/>
      <c r="N300" s="190"/>
      <c r="O300" s="190"/>
      <c r="P300" s="190"/>
      <c r="Q300" s="190"/>
      <c r="R300" s="190"/>
      <c r="S300" s="190"/>
      <c r="T300" s="191"/>
      <c r="AT300" s="18" t="s">
        <v>189</v>
      </c>
      <c r="AU300" s="18" t="s">
        <v>85</v>
      </c>
    </row>
    <row r="301" spans="2:12" s="1" customFormat="1" ht="6.95" customHeight="1">
      <c r="B301" s="42"/>
      <c r="C301" s="43"/>
      <c r="D301" s="43"/>
      <c r="E301" s="43"/>
      <c r="F301" s="43"/>
      <c r="G301" s="43"/>
      <c r="H301" s="43"/>
      <c r="I301" s="43"/>
      <c r="J301" s="43"/>
      <c r="K301" s="43"/>
      <c r="L301" s="33"/>
    </row>
  </sheetData>
  <autoFilter ref="C88:K300"/>
  <mergeCells count="9">
    <mergeCell ref="E50:H50"/>
    <mergeCell ref="E79:H79"/>
    <mergeCell ref="E81:H81"/>
    <mergeCell ref="L2:V2"/>
    <mergeCell ref="E7:H7"/>
    <mergeCell ref="E9:H9"/>
    <mergeCell ref="E18:H18"/>
    <mergeCell ref="E27:H27"/>
    <mergeCell ref="E48:H48"/>
  </mergeCells>
  <hyperlinks>
    <hyperlink ref="F94" r:id="rId1" display="https://podminky.urs.cz/item/CS_URS_2022_02/279113135"/>
    <hyperlink ref="F103" r:id="rId2" display="https://podminky.urs.cz/item/CS_URS_2022_02/311270521"/>
    <hyperlink ref="F110" r:id="rId3" display="https://podminky.urs.cz/item/CS_URS_2022_02/311272031"/>
    <hyperlink ref="F115" r:id="rId4" display="https://podminky.urs.cz/item/CS_URS_2022_02/311272111"/>
    <hyperlink ref="F125" r:id="rId5" display="https://podminky.urs.cz/item/CS_URS_2022_02/317941121"/>
    <hyperlink ref="F135" r:id="rId6" display="https://podminky.urs.cz/item/CS_URS_2022_02/342291112"/>
    <hyperlink ref="F153" r:id="rId7" display="https://podminky.urs.cz/item/CS_URS_2022_02/342291143"/>
    <hyperlink ref="F160" r:id="rId8" display="https://podminky.urs.cz/item/CS_URS_2022_02/612335302"/>
    <hyperlink ref="F165" r:id="rId9" display="https://podminky.urs.cz/item/CS_URS_2022_02/615142012"/>
    <hyperlink ref="F169" r:id="rId10" display="https://podminky.urs.cz/item/CS_URS_2022_02/632450124"/>
    <hyperlink ref="F176" r:id="rId11" display="https://podminky.urs.cz/item/CS_URS_2022_02/941221111"/>
    <hyperlink ref="F180" r:id="rId12" display="https://podminky.urs.cz/item/CS_URS_2022_02/941221211"/>
    <hyperlink ref="F185" r:id="rId13" display="https://podminky.urs.cz/item/CS_URS_2022_02/941221811"/>
    <hyperlink ref="F189" r:id="rId14" display="https://podminky.urs.cz/item/CS_URS_2022_02/944511111"/>
    <hyperlink ref="F193" r:id="rId15" display="https://podminky.urs.cz/item/CS_URS_2022_02/944511211"/>
    <hyperlink ref="F197" r:id="rId16" display="https://podminky.urs.cz/item/CS_URS_2022_02/944511811"/>
    <hyperlink ref="F200" r:id="rId17" display="https://podminky.urs.cz/item/CS_URS_2022_02/949101111"/>
    <hyperlink ref="F206" r:id="rId18" display="https://podminky.urs.cz/item/CS_URS_2022_02/952901111"/>
    <hyperlink ref="F210" r:id="rId19" display="https://podminky.urs.cz/item/CS_URS_2022_02/952902121"/>
    <hyperlink ref="F215" r:id="rId20" display="https://podminky.urs.cz/item/CS_URS_2022_02/952902131"/>
    <hyperlink ref="F219" r:id="rId21" display="https://podminky.urs.cz/item/CS_URS_2022_02/975053141"/>
    <hyperlink ref="F224" r:id="rId22" display="https://podminky.urs.cz/item/CS_URS_2022_02/975058141"/>
    <hyperlink ref="F229" r:id="rId23" display="https://podminky.urs.cz/item/CS_URS_2022_02/998018002"/>
    <hyperlink ref="F235" r:id="rId24" display="https://podminky.urs.cz/item/CS_URS_2022_02/711111002"/>
    <hyperlink ref="F244" r:id="rId25" display="https://podminky.urs.cz/item/CS_URS_2022_02/711112002"/>
    <hyperlink ref="F256" r:id="rId26" display="https://podminky.urs.cz/item/CS_URS_2022_02/711141559"/>
    <hyperlink ref="F261" r:id="rId27" display="https://podminky.urs.cz/item/CS_URS_2022_02/711142559"/>
    <hyperlink ref="F273" r:id="rId28" display="https://podminky.urs.cz/item/CS_URS_2022_02/998711102"/>
    <hyperlink ref="F277" r:id="rId29" display="https://podminky.urs.cz/item/CS_URS_2022_02/998711181"/>
    <hyperlink ref="F282" r:id="rId30" display="https://podminky.urs.cz/item/CS_URS_2022_02/713131141"/>
    <hyperlink ref="F291" r:id="rId31" display="https://podminky.urs.cz/item/CS_URS_2022_02/998713102"/>
    <hyperlink ref="F295" r:id="rId32" display="https://podminky.urs.cz/item/CS_URS_2022_02/998713181"/>
    <hyperlink ref="F300" r:id="rId33"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0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96</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30" customHeight="1">
      <c r="B9" s="33"/>
      <c r="E9" s="281" t="s">
        <v>801</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ROUND(J87,2)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ROUND((SUM(BE87:BE205)),2)</f>
        <v>0</v>
      </c>
      <c r="I33" s="90">
        <v>0.21</v>
      </c>
      <c r="J33" s="89">
        <f>ROUND(((SUM(BE87:BE205))*I33),2)</f>
        <v>0</v>
      </c>
      <c r="L33" s="33"/>
    </row>
    <row r="34" spans="2:12" s="1" customFormat="1" ht="14.45" customHeight="1">
      <c r="B34" s="33"/>
      <c r="E34" s="28" t="s">
        <v>49</v>
      </c>
      <c r="F34" s="89">
        <f>ROUND((SUM(BF87:BF205)),2)</f>
        <v>0</v>
      </c>
      <c r="I34" s="90">
        <v>0.15</v>
      </c>
      <c r="J34" s="89">
        <f>ROUND(((SUM(BF87:BF205))*I34),2)</f>
        <v>0</v>
      </c>
      <c r="L34" s="33"/>
    </row>
    <row r="35" spans="2:12" s="1" customFormat="1" ht="14.45" customHeight="1" hidden="1">
      <c r="B35" s="33"/>
      <c r="E35" s="28" t="s">
        <v>50</v>
      </c>
      <c r="F35" s="89">
        <f>ROUND((SUM(BG87:BG205)),2)</f>
        <v>0</v>
      </c>
      <c r="I35" s="90">
        <v>0.21</v>
      </c>
      <c r="J35" s="89">
        <f>0</f>
        <v>0</v>
      </c>
      <c r="L35" s="33"/>
    </row>
    <row r="36" spans="2:12" s="1" customFormat="1" ht="14.45" customHeight="1" hidden="1">
      <c r="B36" s="33"/>
      <c r="E36" s="28" t="s">
        <v>51</v>
      </c>
      <c r="F36" s="89">
        <f>ROUND((SUM(BH87:BH205)),2)</f>
        <v>0</v>
      </c>
      <c r="I36" s="90">
        <v>0.15</v>
      </c>
      <c r="J36" s="89">
        <f>0</f>
        <v>0</v>
      </c>
      <c r="L36" s="33"/>
    </row>
    <row r="37" spans="2:12" s="1" customFormat="1" ht="14.45" customHeight="1" hidden="1">
      <c r="B37" s="33"/>
      <c r="E37" s="28" t="s">
        <v>52</v>
      </c>
      <c r="F37" s="89">
        <f>ROUND((SUM(BI87:BI205)),2)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30" customHeight="1">
      <c r="B50" s="33"/>
      <c r="E50" s="281" t="str">
        <f>E9</f>
        <v>E 4 - Oddělení bourané a ponechávané části, bourání bazénu</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J87</f>
        <v>0</v>
      </c>
      <c r="L59" s="33"/>
      <c r="AU59" s="18" t="s">
        <v>152</v>
      </c>
    </row>
    <row r="60" spans="2:12" s="8" customFormat="1" ht="24.95" customHeight="1">
      <c r="B60" s="100"/>
      <c r="D60" s="101" t="s">
        <v>153</v>
      </c>
      <c r="E60" s="102"/>
      <c r="F60" s="102"/>
      <c r="G60" s="102"/>
      <c r="H60" s="102"/>
      <c r="I60" s="102"/>
      <c r="J60" s="103">
        <f>J88</f>
        <v>0</v>
      </c>
      <c r="L60" s="100"/>
    </row>
    <row r="61" spans="2:12" s="9" customFormat="1" ht="19.9" customHeight="1">
      <c r="B61" s="104"/>
      <c r="D61" s="105" t="s">
        <v>325</v>
      </c>
      <c r="E61" s="106"/>
      <c r="F61" s="106"/>
      <c r="G61" s="106"/>
      <c r="H61" s="106"/>
      <c r="I61" s="106"/>
      <c r="J61" s="107">
        <f>J89</f>
        <v>0</v>
      </c>
      <c r="L61" s="104"/>
    </row>
    <row r="62" spans="2:12" s="9" customFormat="1" ht="19.9" customHeight="1">
      <c r="B62" s="104"/>
      <c r="D62" s="105" t="s">
        <v>154</v>
      </c>
      <c r="E62" s="106"/>
      <c r="F62" s="106"/>
      <c r="G62" s="106"/>
      <c r="H62" s="106"/>
      <c r="I62" s="106"/>
      <c r="J62" s="107">
        <f>J139</f>
        <v>0</v>
      </c>
      <c r="L62" s="104"/>
    </row>
    <row r="63" spans="2:12" s="9" customFormat="1" ht="19.9" customHeight="1">
      <c r="B63" s="104"/>
      <c r="D63" s="105" t="s">
        <v>326</v>
      </c>
      <c r="E63" s="106"/>
      <c r="F63" s="106"/>
      <c r="G63" s="106"/>
      <c r="H63" s="106"/>
      <c r="I63" s="106"/>
      <c r="J63" s="107">
        <f>J177</f>
        <v>0</v>
      </c>
      <c r="L63" s="104"/>
    </row>
    <row r="64" spans="2:12" s="8" customFormat="1" ht="24.95" customHeight="1">
      <c r="B64" s="100"/>
      <c r="D64" s="101" t="s">
        <v>327</v>
      </c>
      <c r="E64" s="102"/>
      <c r="F64" s="102"/>
      <c r="G64" s="102"/>
      <c r="H64" s="102"/>
      <c r="I64" s="102"/>
      <c r="J64" s="103">
        <f>J182</f>
        <v>0</v>
      </c>
      <c r="L64" s="100"/>
    </row>
    <row r="65" spans="2:12" s="9" customFormat="1" ht="19.9" customHeight="1">
      <c r="B65" s="104"/>
      <c r="D65" s="105" t="s">
        <v>328</v>
      </c>
      <c r="E65" s="106"/>
      <c r="F65" s="106"/>
      <c r="G65" s="106"/>
      <c r="H65" s="106"/>
      <c r="I65" s="106"/>
      <c r="J65" s="107">
        <f>J183</f>
        <v>0</v>
      </c>
      <c r="L65" s="104"/>
    </row>
    <row r="66" spans="2:12" s="9" customFormat="1" ht="19.9" customHeight="1">
      <c r="B66" s="104"/>
      <c r="D66" s="105" t="s">
        <v>802</v>
      </c>
      <c r="E66" s="106"/>
      <c r="F66" s="106"/>
      <c r="G66" s="106"/>
      <c r="H66" s="106"/>
      <c r="I66" s="106"/>
      <c r="J66" s="107">
        <f>J189</f>
        <v>0</v>
      </c>
      <c r="L66" s="104"/>
    </row>
    <row r="67" spans="2:12" s="9" customFormat="1" ht="19.9" customHeight="1">
      <c r="B67" s="104"/>
      <c r="D67" s="105" t="s">
        <v>803</v>
      </c>
      <c r="E67" s="106"/>
      <c r="F67" s="106"/>
      <c r="G67" s="106"/>
      <c r="H67" s="106"/>
      <c r="I67" s="106"/>
      <c r="J67" s="107">
        <f>J199</f>
        <v>0</v>
      </c>
      <c r="L67" s="104"/>
    </row>
    <row r="68" spans="2:12" s="1" customFormat="1" ht="21.75" customHeight="1">
      <c r="B68" s="33"/>
      <c r="L68" s="33"/>
    </row>
    <row r="69" spans="2:12" s="1" customFormat="1" ht="6.95" customHeight="1">
      <c r="B69" s="42"/>
      <c r="C69" s="43"/>
      <c r="D69" s="43"/>
      <c r="E69" s="43"/>
      <c r="F69" s="43"/>
      <c r="G69" s="43"/>
      <c r="H69" s="43"/>
      <c r="I69" s="43"/>
      <c r="J69" s="43"/>
      <c r="K69" s="43"/>
      <c r="L69" s="33"/>
    </row>
    <row r="73" spans="2:12" s="1" customFormat="1" ht="6.95" customHeight="1">
      <c r="B73" s="44"/>
      <c r="C73" s="45"/>
      <c r="D73" s="45"/>
      <c r="E73" s="45"/>
      <c r="F73" s="45"/>
      <c r="G73" s="45"/>
      <c r="H73" s="45"/>
      <c r="I73" s="45"/>
      <c r="J73" s="45"/>
      <c r="K73" s="45"/>
      <c r="L73" s="33"/>
    </row>
    <row r="74" spans="2:12" s="1" customFormat="1" ht="24.95" customHeight="1">
      <c r="B74" s="33"/>
      <c r="C74" s="22" t="s">
        <v>162</v>
      </c>
      <c r="L74" s="33"/>
    </row>
    <row r="75" spans="2:12" s="1" customFormat="1" ht="6.95" customHeight="1">
      <c r="B75" s="33"/>
      <c r="L75" s="33"/>
    </row>
    <row r="76" spans="2:12" s="1" customFormat="1" ht="12" customHeight="1">
      <c r="B76" s="33"/>
      <c r="C76" s="28" t="s">
        <v>17</v>
      </c>
      <c r="L76" s="33"/>
    </row>
    <row r="77" spans="2:12" s="1" customFormat="1" ht="16.5" customHeight="1">
      <c r="B77" s="33"/>
      <c r="E77" s="315" t="str">
        <f>E7</f>
        <v>ZŠ P. HOLÉHO - PŘESTAVBA PLAVECKÉHO PAVILONU</v>
      </c>
      <c r="F77" s="316"/>
      <c r="G77" s="316"/>
      <c r="H77" s="316"/>
      <c r="L77" s="33"/>
    </row>
    <row r="78" spans="2:12" s="1" customFormat="1" ht="12" customHeight="1">
      <c r="B78" s="33"/>
      <c r="C78" s="28" t="s">
        <v>146</v>
      </c>
      <c r="L78" s="33"/>
    </row>
    <row r="79" spans="2:12" s="1" customFormat="1" ht="30" customHeight="1">
      <c r="B79" s="33"/>
      <c r="E79" s="281" t="str">
        <f>E9</f>
        <v>E 4 - Oddělení bourané a ponechávané části, bourání bazénu</v>
      </c>
      <c r="F79" s="317"/>
      <c r="G79" s="317"/>
      <c r="H79" s="317"/>
      <c r="L79" s="33"/>
    </row>
    <row r="80" spans="2:12" s="1" customFormat="1" ht="6.95" customHeight="1">
      <c r="B80" s="33"/>
      <c r="L80" s="33"/>
    </row>
    <row r="81" spans="2:12" s="1" customFormat="1" ht="12" customHeight="1">
      <c r="B81" s="33"/>
      <c r="C81" s="28" t="s">
        <v>21</v>
      </c>
      <c r="F81" s="26" t="str">
        <f>F12</f>
        <v>Prokopa Holého 2632, Louny, 440 01</v>
      </c>
      <c r="I81" s="28" t="s">
        <v>23</v>
      </c>
      <c r="J81" s="50" t="str">
        <f>IF(J12="","",J12)</f>
        <v>21. 9. 2022</v>
      </c>
      <c r="L81" s="33"/>
    </row>
    <row r="82" spans="2:12" s="1" customFormat="1" ht="6.95" customHeight="1">
      <c r="B82" s="33"/>
      <c r="L82" s="33"/>
    </row>
    <row r="83" spans="2:12" s="1" customFormat="1" ht="15.2" customHeight="1">
      <c r="B83" s="33"/>
      <c r="C83" s="28" t="s">
        <v>25</v>
      </c>
      <c r="F83" s="26" t="str">
        <f>E15</f>
        <v>Město Louny</v>
      </c>
      <c r="I83" s="28" t="s">
        <v>32</v>
      </c>
      <c r="J83" s="31" t="str">
        <f>E21</f>
        <v>RYSIK Design s.r.o.</v>
      </c>
      <c r="L83" s="33"/>
    </row>
    <row r="84" spans="2:12" s="1" customFormat="1" ht="25.7" customHeight="1">
      <c r="B84" s="33"/>
      <c r="C84" s="28" t="s">
        <v>30</v>
      </c>
      <c r="F84" s="26" t="str">
        <f>IF(E18="","",E18)</f>
        <v>Vyplň údaj</v>
      </c>
      <c r="I84" s="28" t="s">
        <v>37</v>
      </c>
      <c r="J84" s="31" t="str">
        <f>E24</f>
        <v>ing. Kateřina Tumpachová</v>
      </c>
      <c r="L84" s="33"/>
    </row>
    <row r="85" spans="2:12" s="1" customFormat="1" ht="10.35" customHeight="1">
      <c r="B85" s="33"/>
      <c r="L85" s="33"/>
    </row>
    <row r="86" spans="2:20" s="10" customFormat="1" ht="29.25" customHeight="1">
      <c r="B86" s="108"/>
      <c r="C86" s="109" t="s">
        <v>163</v>
      </c>
      <c r="D86" s="110" t="s">
        <v>62</v>
      </c>
      <c r="E86" s="110" t="s">
        <v>58</v>
      </c>
      <c r="F86" s="110" t="s">
        <v>59</v>
      </c>
      <c r="G86" s="110" t="s">
        <v>164</v>
      </c>
      <c r="H86" s="110" t="s">
        <v>165</v>
      </c>
      <c r="I86" s="110" t="s">
        <v>166</v>
      </c>
      <c r="J86" s="110" t="s">
        <v>151</v>
      </c>
      <c r="K86" s="111" t="s">
        <v>167</v>
      </c>
      <c r="L86" s="108"/>
      <c r="M86" s="57" t="s">
        <v>3</v>
      </c>
      <c r="N86" s="58" t="s">
        <v>47</v>
      </c>
      <c r="O86" s="58" t="s">
        <v>168</v>
      </c>
      <c r="P86" s="58" t="s">
        <v>169</v>
      </c>
      <c r="Q86" s="58" t="s">
        <v>170</v>
      </c>
      <c r="R86" s="58" t="s">
        <v>171</v>
      </c>
      <c r="S86" s="58" t="s">
        <v>172</v>
      </c>
      <c r="T86" s="59" t="s">
        <v>173</v>
      </c>
    </row>
    <row r="87" spans="2:63" s="1" customFormat="1" ht="22.9" customHeight="1">
      <c r="B87" s="33"/>
      <c r="C87" s="62" t="s">
        <v>174</v>
      </c>
      <c r="J87" s="112">
        <f>BK87</f>
        <v>0</v>
      </c>
      <c r="L87" s="33"/>
      <c r="M87" s="60"/>
      <c r="N87" s="51"/>
      <c r="O87" s="51"/>
      <c r="P87" s="113">
        <f>P88+P182</f>
        <v>0</v>
      </c>
      <c r="Q87" s="51"/>
      <c r="R87" s="113">
        <f>R88+R182</f>
        <v>1.3621431439999998</v>
      </c>
      <c r="S87" s="51"/>
      <c r="T87" s="114">
        <f>T88+T182</f>
        <v>1690.1208</v>
      </c>
      <c r="AT87" s="18" t="s">
        <v>76</v>
      </c>
      <c r="AU87" s="18" t="s">
        <v>152</v>
      </c>
      <c r="BK87" s="115">
        <f>BK88+BK182</f>
        <v>0</v>
      </c>
    </row>
    <row r="88" spans="2:63" s="11" customFormat="1" ht="25.9" customHeight="1">
      <c r="B88" s="116"/>
      <c r="D88" s="117" t="s">
        <v>76</v>
      </c>
      <c r="E88" s="118" t="s">
        <v>175</v>
      </c>
      <c r="F88" s="118" t="s">
        <v>176</v>
      </c>
      <c r="I88" s="119"/>
      <c r="J88" s="120">
        <f>BK88</f>
        <v>0</v>
      </c>
      <c r="L88" s="116"/>
      <c r="M88" s="121"/>
      <c r="P88" s="122">
        <f>P89+P139+P177</f>
        <v>0</v>
      </c>
      <c r="R88" s="122">
        <f>R89+R139+R177</f>
        <v>1.3621431439999998</v>
      </c>
      <c r="T88" s="123">
        <f>T89+T139+T177</f>
        <v>1690.1208</v>
      </c>
      <c r="AR88" s="117" t="s">
        <v>85</v>
      </c>
      <c r="AT88" s="124" t="s">
        <v>76</v>
      </c>
      <c r="AU88" s="124" t="s">
        <v>77</v>
      </c>
      <c r="AY88" s="117" t="s">
        <v>177</v>
      </c>
      <c r="BK88" s="125">
        <f>BK89+BK139+BK177</f>
        <v>0</v>
      </c>
    </row>
    <row r="89" spans="2:63" s="11" customFormat="1" ht="22.9" customHeight="1">
      <c r="B89" s="116"/>
      <c r="D89" s="117" t="s">
        <v>76</v>
      </c>
      <c r="E89" s="126" t="s">
        <v>252</v>
      </c>
      <c r="F89" s="126" t="s">
        <v>329</v>
      </c>
      <c r="I89" s="119"/>
      <c r="J89" s="127">
        <f>BK89</f>
        <v>0</v>
      </c>
      <c r="L89" s="116"/>
      <c r="M89" s="121"/>
      <c r="P89" s="122">
        <f>SUM(P90:P138)</f>
        <v>0</v>
      </c>
      <c r="R89" s="122">
        <f>SUM(R90:R138)</f>
        <v>1.3621431439999998</v>
      </c>
      <c r="T89" s="123">
        <f>SUM(T90:T138)</f>
        <v>1690.1208</v>
      </c>
      <c r="AR89" s="117" t="s">
        <v>85</v>
      </c>
      <c r="AT89" s="124" t="s">
        <v>76</v>
      </c>
      <c r="AU89" s="124" t="s">
        <v>85</v>
      </c>
      <c r="AY89" s="117" t="s">
        <v>177</v>
      </c>
      <c r="BK89" s="125">
        <f>SUM(BK90:BK138)</f>
        <v>0</v>
      </c>
    </row>
    <row r="90" spans="2:65" s="1" customFormat="1" ht="24.2" customHeight="1">
      <c r="B90" s="128"/>
      <c r="C90" s="129" t="s">
        <v>85</v>
      </c>
      <c r="D90" s="129" t="s">
        <v>180</v>
      </c>
      <c r="E90" s="130" t="s">
        <v>804</v>
      </c>
      <c r="F90" s="131" t="s">
        <v>805</v>
      </c>
      <c r="G90" s="132" t="s">
        <v>806</v>
      </c>
      <c r="H90" s="133">
        <v>14.187</v>
      </c>
      <c r="I90" s="134"/>
      <c r="J90" s="135">
        <f>ROUND(I90*H90,2)</f>
        <v>0</v>
      </c>
      <c r="K90" s="131" t="s">
        <v>184</v>
      </c>
      <c r="L90" s="33"/>
      <c r="M90" s="136" t="s">
        <v>3</v>
      </c>
      <c r="N90" s="137" t="s">
        <v>48</v>
      </c>
      <c r="P90" s="138">
        <f>O90*H90</f>
        <v>0</v>
      </c>
      <c r="Q90" s="138">
        <v>0</v>
      </c>
      <c r="R90" s="138">
        <f>Q90*H90</f>
        <v>0</v>
      </c>
      <c r="S90" s="138">
        <v>2.4</v>
      </c>
      <c r="T90" s="139">
        <f>S90*H90</f>
        <v>34.0488</v>
      </c>
      <c r="AR90" s="140" t="s">
        <v>185</v>
      </c>
      <c r="AT90" s="140" t="s">
        <v>180</v>
      </c>
      <c r="AU90" s="140" t="s">
        <v>87</v>
      </c>
      <c r="AY90" s="18" t="s">
        <v>177</v>
      </c>
      <c r="BE90" s="141">
        <f>IF(N90="základní",J90,0)</f>
        <v>0</v>
      </c>
      <c r="BF90" s="141">
        <f>IF(N90="snížená",J90,0)</f>
        <v>0</v>
      </c>
      <c r="BG90" s="141">
        <f>IF(N90="zákl. přenesená",J90,0)</f>
        <v>0</v>
      </c>
      <c r="BH90" s="141">
        <f>IF(N90="sníž. přenesená",J90,0)</f>
        <v>0</v>
      </c>
      <c r="BI90" s="141">
        <f>IF(N90="nulová",J90,0)</f>
        <v>0</v>
      </c>
      <c r="BJ90" s="18" t="s">
        <v>85</v>
      </c>
      <c r="BK90" s="141">
        <f>ROUND(I90*H90,2)</f>
        <v>0</v>
      </c>
      <c r="BL90" s="18" t="s">
        <v>185</v>
      </c>
      <c r="BM90" s="140" t="s">
        <v>807</v>
      </c>
    </row>
    <row r="91" spans="2:47" s="1" customFormat="1" ht="19.5">
      <c r="B91" s="33"/>
      <c r="D91" s="142" t="s">
        <v>187</v>
      </c>
      <c r="F91" s="143" t="s">
        <v>808</v>
      </c>
      <c r="I91" s="144"/>
      <c r="L91" s="33"/>
      <c r="M91" s="145"/>
      <c r="T91" s="54"/>
      <c r="AT91" s="18" t="s">
        <v>187</v>
      </c>
      <c r="AU91" s="18" t="s">
        <v>87</v>
      </c>
    </row>
    <row r="92" spans="2:47" s="1" customFormat="1" ht="11.25">
      <c r="B92" s="33"/>
      <c r="D92" s="146" t="s">
        <v>189</v>
      </c>
      <c r="F92" s="147" t="s">
        <v>809</v>
      </c>
      <c r="I92" s="144"/>
      <c r="L92" s="33"/>
      <c r="M92" s="145"/>
      <c r="T92" s="54"/>
      <c r="AT92" s="18" t="s">
        <v>189</v>
      </c>
      <c r="AU92" s="18" t="s">
        <v>87</v>
      </c>
    </row>
    <row r="93" spans="2:51" s="13" customFormat="1" ht="11.25">
      <c r="B93" s="156"/>
      <c r="D93" s="142" t="s">
        <v>193</v>
      </c>
      <c r="E93" s="157" t="s">
        <v>3</v>
      </c>
      <c r="F93" s="158" t="s">
        <v>810</v>
      </c>
      <c r="H93" s="157" t="s">
        <v>3</v>
      </c>
      <c r="I93" s="159"/>
      <c r="L93" s="156"/>
      <c r="M93" s="160"/>
      <c r="T93" s="161"/>
      <c r="AT93" s="157" t="s">
        <v>193</v>
      </c>
      <c r="AU93" s="157" t="s">
        <v>87</v>
      </c>
      <c r="AV93" s="13" t="s">
        <v>85</v>
      </c>
      <c r="AW93" s="13" t="s">
        <v>36</v>
      </c>
      <c r="AX93" s="13" t="s">
        <v>77</v>
      </c>
      <c r="AY93" s="157" t="s">
        <v>177</v>
      </c>
    </row>
    <row r="94" spans="2:51" s="12" customFormat="1" ht="11.25">
      <c r="B94" s="149"/>
      <c r="D94" s="142" t="s">
        <v>193</v>
      </c>
      <c r="E94" s="150" t="s">
        <v>3</v>
      </c>
      <c r="F94" s="151" t="s">
        <v>811</v>
      </c>
      <c r="H94" s="152">
        <v>14.187</v>
      </c>
      <c r="I94" s="153"/>
      <c r="L94" s="149"/>
      <c r="M94" s="154"/>
      <c r="T94" s="155"/>
      <c r="AT94" s="150" t="s">
        <v>193</v>
      </c>
      <c r="AU94" s="150" t="s">
        <v>87</v>
      </c>
      <c r="AV94" s="12" t="s">
        <v>87</v>
      </c>
      <c r="AW94" s="12" t="s">
        <v>36</v>
      </c>
      <c r="AX94" s="12" t="s">
        <v>85</v>
      </c>
      <c r="AY94" s="150" t="s">
        <v>177</v>
      </c>
    </row>
    <row r="95" spans="2:65" s="1" customFormat="1" ht="33" customHeight="1">
      <c r="B95" s="128"/>
      <c r="C95" s="129" t="s">
        <v>87</v>
      </c>
      <c r="D95" s="129" t="s">
        <v>180</v>
      </c>
      <c r="E95" s="130" t="s">
        <v>700</v>
      </c>
      <c r="F95" s="131" t="s">
        <v>701</v>
      </c>
      <c r="G95" s="132" t="s">
        <v>476</v>
      </c>
      <c r="H95" s="133">
        <v>48</v>
      </c>
      <c r="I95" s="134"/>
      <c r="J95" s="135">
        <f>ROUND(I95*H95,2)</f>
        <v>0</v>
      </c>
      <c r="K95" s="131" t="s">
        <v>184</v>
      </c>
      <c r="L95" s="33"/>
      <c r="M95" s="136" t="s">
        <v>3</v>
      </c>
      <c r="N95" s="137" t="s">
        <v>48</v>
      </c>
      <c r="P95" s="138">
        <f>O95*H95</f>
        <v>0</v>
      </c>
      <c r="Q95" s="138">
        <v>0.0236305</v>
      </c>
      <c r="R95" s="138">
        <f>Q95*H95</f>
        <v>1.134264</v>
      </c>
      <c r="S95" s="138">
        <v>0</v>
      </c>
      <c r="T95" s="139">
        <f>S95*H95</f>
        <v>0</v>
      </c>
      <c r="AR95" s="140" t="s">
        <v>185</v>
      </c>
      <c r="AT95" s="140" t="s">
        <v>180</v>
      </c>
      <c r="AU95" s="140" t="s">
        <v>87</v>
      </c>
      <c r="AY95" s="18" t="s">
        <v>177</v>
      </c>
      <c r="BE95" s="141">
        <f>IF(N95="základní",J95,0)</f>
        <v>0</v>
      </c>
      <c r="BF95" s="141">
        <f>IF(N95="snížená",J95,0)</f>
        <v>0</v>
      </c>
      <c r="BG95" s="141">
        <f>IF(N95="zákl. přenesená",J95,0)</f>
        <v>0</v>
      </c>
      <c r="BH95" s="141">
        <f>IF(N95="sníž. přenesená",J95,0)</f>
        <v>0</v>
      </c>
      <c r="BI95" s="141">
        <f>IF(N95="nulová",J95,0)</f>
        <v>0</v>
      </c>
      <c r="BJ95" s="18" t="s">
        <v>85</v>
      </c>
      <c r="BK95" s="141">
        <f>ROUND(I95*H95,2)</f>
        <v>0</v>
      </c>
      <c r="BL95" s="18" t="s">
        <v>185</v>
      </c>
      <c r="BM95" s="140" t="s">
        <v>812</v>
      </c>
    </row>
    <row r="96" spans="2:47" s="1" customFormat="1" ht="29.25">
      <c r="B96" s="33"/>
      <c r="D96" s="142" t="s">
        <v>187</v>
      </c>
      <c r="F96" s="143" t="s">
        <v>703</v>
      </c>
      <c r="I96" s="144"/>
      <c r="L96" s="33"/>
      <c r="M96" s="145"/>
      <c r="T96" s="54"/>
      <c r="AT96" s="18" t="s">
        <v>187</v>
      </c>
      <c r="AU96" s="18" t="s">
        <v>87</v>
      </c>
    </row>
    <row r="97" spans="2:47" s="1" customFormat="1" ht="11.25">
      <c r="B97" s="33"/>
      <c r="D97" s="146" t="s">
        <v>189</v>
      </c>
      <c r="F97" s="147" t="s">
        <v>704</v>
      </c>
      <c r="I97" s="144"/>
      <c r="L97" s="33"/>
      <c r="M97" s="145"/>
      <c r="T97" s="54"/>
      <c r="AT97" s="18" t="s">
        <v>189</v>
      </c>
      <c r="AU97" s="18" t="s">
        <v>87</v>
      </c>
    </row>
    <row r="98" spans="2:47" s="1" customFormat="1" ht="39">
      <c r="B98" s="33"/>
      <c r="D98" s="142" t="s">
        <v>191</v>
      </c>
      <c r="F98" s="148" t="s">
        <v>705</v>
      </c>
      <c r="I98" s="144"/>
      <c r="L98" s="33"/>
      <c r="M98" s="145"/>
      <c r="T98" s="54"/>
      <c r="AT98" s="18" t="s">
        <v>191</v>
      </c>
      <c r="AU98" s="18" t="s">
        <v>87</v>
      </c>
    </row>
    <row r="99" spans="2:47" s="1" customFormat="1" ht="19.5">
      <c r="B99" s="33"/>
      <c r="D99" s="142" t="s">
        <v>813</v>
      </c>
      <c r="F99" s="148" t="s">
        <v>814</v>
      </c>
      <c r="I99" s="144"/>
      <c r="L99" s="33"/>
      <c r="M99" s="145"/>
      <c r="T99" s="54"/>
      <c r="AT99" s="18" t="s">
        <v>813</v>
      </c>
      <c r="AU99" s="18" t="s">
        <v>87</v>
      </c>
    </row>
    <row r="100" spans="2:51" s="12" customFormat="1" ht="11.25">
      <c r="B100" s="149"/>
      <c r="D100" s="142" t="s">
        <v>193</v>
      </c>
      <c r="E100" s="150" t="s">
        <v>3</v>
      </c>
      <c r="F100" s="151" t="s">
        <v>604</v>
      </c>
      <c r="H100" s="152">
        <v>48</v>
      </c>
      <c r="I100" s="153"/>
      <c r="L100" s="149"/>
      <c r="M100" s="154"/>
      <c r="T100" s="155"/>
      <c r="AT100" s="150" t="s">
        <v>193</v>
      </c>
      <c r="AU100" s="150" t="s">
        <v>87</v>
      </c>
      <c r="AV100" s="12" t="s">
        <v>87</v>
      </c>
      <c r="AW100" s="12" t="s">
        <v>36</v>
      </c>
      <c r="AX100" s="12" t="s">
        <v>85</v>
      </c>
      <c r="AY100" s="150" t="s">
        <v>177</v>
      </c>
    </row>
    <row r="101" spans="2:65" s="1" customFormat="1" ht="37.9" customHeight="1">
      <c r="B101" s="128"/>
      <c r="C101" s="129" t="s">
        <v>198</v>
      </c>
      <c r="D101" s="129" t="s">
        <v>180</v>
      </c>
      <c r="E101" s="130" t="s">
        <v>706</v>
      </c>
      <c r="F101" s="131" t="s">
        <v>707</v>
      </c>
      <c r="G101" s="132" t="s">
        <v>476</v>
      </c>
      <c r="H101" s="133">
        <v>48</v>
      </c>
      <c r="I101" s="134"/>
      <c r="J101" s="135">
        <f>ROUND(I101*H101,2)</f>
        <v>0</v>
      </c>
      <c r="K101" s="131" t="s">
        <v>184</v>
      </c>
      <c r="L101" s="33"/>
      <c r="M101" s="136" t="s">
        <v>3</v>
      </c>
      <c r="N101" s="137" t="s">
        <v>48</v>
      </c>
      <c r="P101" s="138">
        <f>O101*H101</f>
        <v>0</v>
      </c>
      <c r="Q101" s="138">
        <v>0.0043225</v>
      </c>
      <c r="R101" s="138">
        <f>Q101*H101</f>
        <v>0.20748</v>
      </c>
      <c r="S101" s="138">
        <v>0</v>
      </c>
      <c r="T101" s="139">
        <f>S101*H101</f>
        <v>0</v>
      </c>
      <c r="AR101" s="140" t="s">
        <v>185</v>
      </c>
      <c r="AT101" s="140" t="s">
        <v>180</v>
      </c>
      <c r="AU101" s="140" t="s">
        <v>87</v>
      </c>
      <c r="AY101" s="18" t="s">
        <v>177</v>
      </c>
      <c r="BE101" s="141">
        <f>IF(N101="základní",J101,0)</f>
        <v>0</v>
      </c>
      <c r="BF101" s="141">
        <f>IF(N101="snížená",J101,0)</f>
        <v>0</v>
      </c>
      <c r="BG101" s="141">
        <f>IF(N101="zákl. přenesená",J101,0)</f>
        <v>0</v>
      </c>
      <c r="BH101" s="141">
        <f>IF(N101="sníž. přenesená",J101,0)</f>
        <v>0</v>
      </c>
      <c r="BI101" s="141">
        <f>IF(N101="nulová",J101,0)</f>
        <v>0</v>
      </c>
      <c r="BJ101" s="18" t="s">
        <v>85</v>
      </c>
      <c r="BK101" s="141">
        <f>ROUND(I101*H101,2)</f>
        <v>0</v>
      </c>
      <c r="BL101" s="18" t="s">
        <v>185</v>
      </c>
      <c r="BM101" s="140" t="s">
        <v>815</v>
      </c>
    </row>
    <row r="102" spans="2:47" s="1" customFormat="1" ht="29.25">
      <c r="B102" s="33"/>
      <c r="D102" s="142" t="s">
        <v>187</v>
      </c>
      <c r="F102" s="143" t="s">
        <v>709</v>
      </c>
      <c r="I102" s="144"/>
      <c r="L102" s="33"/>
      <c r="M102" s="145"/>
      <c r="T102" s="54"/>
      <c r="AT102" s="18" t="s">
        <v>187</v>
      </c>
      <c r="AU102" s="18" t="s">
        <v>87</v>
      </c>
    </row>
    <row r="103" spans="2:47" s="1" customFormat="1" ht="11.25">
      <c r="B103" s="33"/>
      <c r="D103" s="146" t="s">
        <v>189</v>
      </c>
      <c r="F103" s="147" t="s">
        <v>710</v>
      </c>
      <c r="I103" s="144"/>
      <c r="L103" s="33"/>
      <c r="M103" s="145"/>
      <c r="T103" s="54"/>
      <c r="AT103" s="18" t="s">
        <v>189</v>
      </c>
      <c r="AU103" s="18" t="s">
        <v>87</v>
      </c>
    </row>
    <row r="104" spans="2:47" s="1" customFormat="1" ht="39">
      <c r="B104" s="33"/>
      <c r="D104" s="142" t="s">
        <v>191</v>
      </c>
      <c r="F104" s="148" t="s">
        <v>705</v>
      </c>
      <c r="I104" s="144"/>
      <c r="L104" s="33"/>
      <c r="M104" s="145"/>
      <c r="T104" s="54"/>
      <c r="AT104" s="18" t="s">
        <v>191</v>
      </c>
      <c r="AU104" s="18" t="s">
        <v>87</v>
      </c>
    </row>
    <row r="105" spans="2:65" s="1" customFormat="1" ht="24.2" customHeight="1">
      <c r="B105" s="128"/>
      <c r="C105" s="129" t="s">
        <v>185</v>
      </c>
      <c r="D105" s="129" t="s">
        <v>180</v>
      </c>
      <c r="E105" s="130" t="s">
        <v>816</v>
      </c>
      <c r="F105" s="131" t="s">
        <v>817</v>
      </c>
      <c r="G105" s="132" t="s">
        <v>476</v>
      </c>
      <c r="H105" s="133">
        <v>1.7</v>
      </c>
      <c r="I105" s="134"/>
      <c r="J105" s="135">
        <f>ROUND(I105*H105,2)</f>
        <v>0</v>
      </c>
      <c r="K105" s="131" t="s">
        <v>184</v>
      </c>
      <c r="L105" s="33"/>
      <c r="M105" s="136" t="s">
        <v>3</v>
      </c>
      <c r="N105" s="137" t="s">
        <v>48</v>
      </c>
      <c r="P105" s="138">
        <f>O105*H105</f>
        <v>0</v>
      </c>
      <c r="Q105" s="138">
        <v>7.74E-05</v>
      </c>
      <c r="R105" s="138">
        <f>Q105*H105</f>
        <v>0.00013157999999999998</v>
      </c>
      <c r="S105" s="138">
        <v>0</v>
      </c>
      <c r="T105" s="139">
        <f>S105*H105</f>
        <v>0</v>
      </c>
      <c r="AR105" s="140" t="s">
        <v>185</v>
      </c>
      <c r="AT105" s="140" t="s">
        <v>180</v>
      </c>
      <c r="AU105" s="140" t="s">
        <v>87</v>
      </c>
      <c r="AY105" s="18" t="s">
        <v>177</v>
      </c>
      <c r="BE105" s="141">
        <f>IF(N105="základní",J105,0)</f>
        <v>0</v>
      </c>
      <c r="BF105" s="141">
        <f>IF(N105="snížená",J105,0)</f>
        <v>0</v>
      </c>
      <c r="BG105" s="141">
        <f>IF(N105="zákl. přenesená",J105,0)</f>
        <v>0</v>
      </c>
      <c r="BH105" s="141">
        <f>IF(N105="sníž. přenesená",J105,0)</f>
        <v>0</v>
      </c>
      <c r="BI105" s="141">
        <f>IF(N105="nulová",J105,0)</f>
        <v>0</v>
      </c>
      <c r="BJ105" s="18" t="s">
        <v>85</v>
      </c>
      <c r="BK105" s="141">
        <f>ROUND(I105*H105,2)</f>
        <v>0</v>
      </c>
      <c r="BL105" s="18" t="s">
        <v>185</v>
      </c>
      <c r="BM105" s="140" t="s">
        <v>818</v>
      </c>
    </row>
    <row r="106" spans="2:47" s="1" customFormat="1" ht="29.25">
      <c r="B106" s="33"/>
      <c r="D106" s="142" t="s">
        <v>187</v>
      </c>
      <c r="F106" s="143" t="s">
        <v>819</v>
      </c>
      <c r="I106" s="144"/>
      <c r="L106" s="33"/>
      <c r="M106" s="145"/>
      <c r="T106" s="54"/>
      <c r="AT106" s="18" t="s">
        <v>187</v>
      </c>
      <c r="AU106" s="18" t="s">
        <v>87</v>
      </c>
    </row>
    <row r="107" spans="2:47" s="1" customFormat="1" ht="11.25">
      <c r="B107" s="33"/>
      <c r="D107" s="146" t="s">
        <v>189</v>
      </c>
      <c r="F107" s="147" t="s">
        <v>820</v>
      </c>
      <c r="I107" s="144"/>
      <c r="L107" s="33"/>
      <c r="M107" s="145"/>
      <c r="T107" s="54"/>
      <c r="AT107" s="18" t="s">
        <v>189</v>
      </c>
      <c r="AU107" s="18" t="s">
        <v>87</v>
      </c>
    </row>
    <row r="108" spans="2:47" s="1" customFormat="1" ht="97.5">
      <c r="B108" s="33"/>
      <c r="D108" s="142" t="s">
        <v>191</v>
      </c>
      <c r="F108" s="148" t="s">
        <v>821</v>
      </c>
      <c r="I108" s="144"/>
      <c r="L108" s="33"/>
      <c r="M108" s="145"/>
      <c r="T108" s="54"/>
      <c r="AT108" s="18" t="s">
        <v>191</v>
      </c>
      <c r="AU108" s="18" t="s">
        <v>87</v>
      </c>
    </row>
    <row r="109" spans="2:51" s="13" customFormat="1" ht="11.25">
      <c r="B109" s="156"/>
      <c r="D109" s="142" t="s">
        <v>193</v>
      </c>
      <c r="E109" s="157" t="s">
        <v>3</v>
      </c>
      <c r="F109" s="158" t="s">
        <v>573</v>
      </c>
      <c r="H109" s="157" t="s">
        <v>3</v>
      </c>
      <c r="I109" s="159"/>
      <c r="L109" s="156"/>
      <c r="M109" s="160"/>
      <c r="T109" s="161"/>
      <c r="AT109" s="157" t="s">
        <v>193</v>
      </c>
      <c r="AU109" s="157" t="s">
        <v>87</v>
      </c>
      <c r="AV109" s="13" t="s">
        <v>85</v>
      </c>
      <c r="AW109" s="13" t="s">
        <v>36</v>
      </c>
      <c r="AX109" s="13" t="s">
        <v>77</v>
      </c>
      <c r="AY109" s="157" t="s">
        <v>177</v>
      </c>
    </row>
    <row r="110" spans="2:51" s="12" customFormat="1" ht="11.25">
      <c r="B110" s="149"/>
      <c r="D110" s="142" t="s">
        <v>193</v>
      </c>
      <c r="E110" s="150" t="s">
        <v>3</v>
      </c>
      <c r="F110" s="151" t="s">
        <v>822</v>
      </c>
      <c r="H110" s="152">
        <v>1.7</v>
      </c>
      <c r="I110" s="153"/>
      <c r="L110" s="149"/>
      <c r="M110" s="154"/>
      <c r="T110" s="155"/>
      <c r="AT110" s="150" t="s">
        <v>193</v>
      </c>
      <c r="AU110" s="150" t="s">
        <v>87</v>
      </c>
      <c r="AV110" s="12" t="s">
        <v>87</v>
      </c>
      <c r="AW110" s="12" t="s">
        <v>36</v>
      </c>
      <c r="AX110" s="12" t="s">
        <v>85</v>
      </c>
      <c r="AY110" s="150" t="s">
        <v>177</v>
      </c>
    </row>
    <row r="111" spans="2:65" s="1" customFormat="1" ht="33" customHeight="1">
      <c r="B111" s="128"/>
      <c r="C111" s="129" t="s">
        <v>200</v>
      </c>
      <c r="D111" s="129" t="s">
        <v>180</v>
      </c>
      <c r="E111" s="130" t="s">
        <v>823</v>
      </c>
      <c r="F111" s="131" t="s">
        <v>824</v>
      </c>
      <c r="G111" s="132" t="s">
        <v>476</v>
      </c>
      <c r="H111" s="133">
        <v>99.16</v>
      </c>
      <c r="I111" s="134"/>
      <c r="J111" s="135">
        <f>ROUND(I111*H111,2)</f>
        <v>0</v>
      </c>
      <c r="K111" s="131" t="s">
        <v>184</v>
      </c>
      <c r="L111" s="33"/>
      <c r="M111" s="136" t="s">
        <v>3</v>
      </c>
      <c r="N111" s="137" t="s">
        <v>48</v>
      </c>
      <c r="P111" s="138">
        <f>O111*H111</f>
        <v>0</v>
      </c>
      <c r="Q111" s="138">
        <v>0.0002009</v>
      </c>
      <c r="R111" s="138">
        <f>Q111*H111</f>
        <v>0.019921244</v>
      </c>
      <c r="S111" s="138">
        <v>0</v>
      </c>
      <c r="T111" s="139">
        <f>S111*H111</f>
        <v>0</v>
      </c>
      <c r="AR111" s="140" t="s">
        <v>185</v>
      </c>
      <c r="AT111" s="140" t="s">
        <v>180</v>
      </c>
      <c r="AU111" s="140" t="s">
        <v>87</v>
      </c>
      <c r="AY111" s="18" t="s">
        <v>177</v>
      </c>
      <c r="BE111" s="141">
        <f>IF(N111="základní",J111,0)</f>
        <v>0</v>
      </c>
      <c r="BF111" s="141">
        <f>IF(N111="snížená",J111,0)</f>
        <v>0</v>
      </c>
      <c r="BG111" s="141">
        <f>IF(N111="zákl. přenesená",J111,0)</f>
        <v>0</v>
      </c>
      <c r="BH111" s="141">
        <f>IF(N111="sníž. přenesená",J111,0)</f>
        <v>0</v>
      </c>
      <c r="BI111" s="141">
        <f>IF(N111="nulová",J111,0)</f>
        <v>0</v>
      </c>
      <c r="BJ111" s="18" t="s">
        <v>85</v>
      </c>
      <c r="BK111" s="141">
        <f>ROUND(I111*H111,2)</f>
        <v>0</v>
      </c>
      <c r="BL111" s="18" t="s">
        <v>185</v>
      </c>
      <c r="BM111" s="140" t="s">
        <v>825</v>
      </c>
    </row>
    <row r="112" spans="2:47" s="1" customFormat="1" ht="29.25">
      <c r="B112" s="33"/>
      <c r="D112" s="142" t="s">
        <v>187</v>
      </c>
      <c r="F112" s="143" t="s">
        <v>826</v>
      </c>
      <c r="I112" s="144"/>
      <c r="L112" s="33"/>
      <c r="M112" s="145"/>
      <c r="T112" s="54"/>
      <c r="AT112" s="18" t="s">
        <v>187</v>
      </c>
      <c r="AU112" s="18" t="s">
        <v>87</v>
      </c>
    </row>
    <row r="113" spans="2:47" s="1" customFormat="1" ht="11.25">
      <c r="B113" s="33"/>
      <c r="D113" s="146" t="s">
        <v>189</v>
      </c>
      <c r="F113" s="147" t="s">
        <v>827</v>
      </c>
      <c r="I113" s="144"/>
      <c r="L113" s="33"/>
      <c r="M113" s="145"/>
      <c r="T113" s="54"/>
      <c r="AT113" s="18" t="s">
        <v>189</v>
      </c>
      <c r="AU113" s="18" t="s">
        <v>87</v>
      </c>
    </row>
    <row r="114" spans="2:47" s="1" customFormat="1" ht="97.5">
      <c r="B114" s="33"/>
      <c r="D114" s="142" t="s">
        <v>191</v>
      </c>
      <c r="F114" s="148" t="s">
        <v>821</v>
      </c>
      <c r="I114" s="144"/>
      <c r="L114" s="33"/>
      <c r="M114" s="145"/>
      <c r="T114" s="54"/>
      <c r="AT114" s="18" t="s">
        <v>191</v>
      </c>
      <c r="AU114" s="18" t="s">
        <v>87</v>
      </c>
    </row>
    <row r="115" spans="2:51" s="13" customFormat="1" ht="11.25">
      <c r="B115" s="156"/>
      <c r="D115" s="142" t="s">
        <v>193</v>
      </c>
      <c r="E115" s="157" t="s">
        <v>3</v>
      </c>
      <c r="F115" s="158" t="s">
        <v>828</v>
      </c>
      <c r="H115" s="157" t="s">
        <v>3</v>
      </c>
      <c r="I115" s="159"/>
      <c r="L115" s="156"/>
      <c r="M115" s="160"/>
      <c r="T115" s="161"/>
      <c r="AT115" s="157" t="s">
        <v>193</v>
      </c>
      <c r="AU115" s="157" t="s">
        <v>87</v>
      </c>
      <c r="AV115" s="13" t="s">
        <v>85</v>
      </c>
      <c r="AW115" s="13" t="s">
        <v>36</v>
      </c>
      <c r="AX115" s="13" t="s">
        <v>77</v>
      </c>
      <c r="AY115" s="157" t="s">
        <v>177</v>
      </c>
    </row>
    <row r="116" spans="2:51" s="12" customFormat="1" ht="11.25">
      <c r="B116" s="149"/>
      <c r="D116" s="142" t="s">
        <v>193</v>
      </c>
      <c r="E116" s="150" t="s">
        <v>3</v>
      </c>
      <c r="F116" s="151" t="s">
        <v>829</v>
      </c>
      <c r="H116" s="152">
        <v>24.4</v>
      </c>
      <c r="I116" s="153"/>
      <c r="L116" s="149"/>
      <c r="M116" s="154"/>
      <c r="T116" s="155"/>
      <c r="AT116" s="150" t="s">
        <v>193</v>
      </c>
      <c r="AU116" s="150" t="s">
        <v>87</v>
      </c>
      <c r="AV116" s="12" t="s">
        <v>87</v>
      </c>
      <c r="AW116" s="12" t="s">
        <v>36</v>
      </c>
      <c r="AX116" s="12" t="s">
        <v>77</v>
      </c>
      <c r="AY116" s="150" t="s">
        <v>177</v>
      </c>
    </row>
    <row r="117" spans="2:51" s="13" customFormat="1" ht="11.25">
      <c r="B117" s="156"/>
      <c r="D117" s="142" t="s">
        <v>193</v>
      </c>
      <c r="E117" s="157" t="s">
        <v>3</v>
      </c>
      <c r="F117" s="158" t="s">
        <v>830</v>
      </c>
      <c r="H117" s="157" t="s">
        <v>3</v>
      </c>
      <c r="I117" s="159"/>
      <c r="L117" s="156"/>
      <c r="M117" s="160"/>
      <c r="T117" s="161"/>
      <c r="AT117" s="157" t="s">
        <v>193</v>
      </c>
      <c r="AU117" s="157" t="s">
        <v>87</v>
      </c>
      <c r="AV117" s="13" t="s">
        <v>85</v>
      </c>
      <c r="AW117" s="13" t="s">
        <v>36</v>
      </c>
      <c r="AX117" s="13" t="s">
        <v>77</v>
      </c>
      <c r="AY117" s="157" t="s">
        <v>177</v>
      </c>
    </row>
    <row r="118" spans="2:51" s="12" customFormat="1" ht="11.25">
      <c r="B118" s="149"/>
      <c r="D118" s="142" t="s">
        <v>193</v>
      </c>
      <c r="E118" s="150" t="s">
        <v>3</v>
      </c>
      <c r="F118" s="151" t="s">
        <v>831</v>
      </c>
      <c r="H118" s="152">
        <v>5.9</v>
      </c>
      <c r="I118" s="153"/>
      <c r="L118" s="149"/>
      <c r="M118" s="154"/>
      <c r="T118" s="155"/>
      <c r="AT118" s="150" t="s">
        <v>193</v>
      </c>
      <c r="AU118" s="150" t="s">
        <v>87</v>
      </c>
      <c r="AV118" s="12" t="s">
        <v>87</v>
      </c>
      <c r="AW118" s="12" t="s">
        <v>36</v>
      </c>
      <c r="AX118" s="12" t="s">
        <v>77</v>
      </c>
      <c r="AY118" s="150" t="s">
        <v>177</v>
      </c>
    </row>
    <row r="119" spans="2:51" s="13" customFormat="1" ht="11.25">
      <c r="B119" s="156"/>
      <c r="D119" s="142" t="s">
        <v>193</v>
      </c>
      <c r="E119" s="157" t="s">
        <v>3</v>
      </c>
      <c r="F119" s="158" t="s">
        <v>832</v>
      </c>
      <c r="H119" s="157" t="s">
        <v>3</v>
      </c>
      <c r="I119" s="159"/>
      <c r="L119" s="156"/>
      <c r="M119" s="160"/>
      <c r="T119" s="161"/>
      <c r="AT119" s="157" t="s">
        <v>193</v>
      </c>
      <c r="AU119" s="157" t="s">
        <v>87</v>
      </c>
      <c r="AV119" s="13" t="s">
        <v>85</v>
      </c>
      <c r="AW119" s="13" t="s">
        <v>36</v>
      </c>
      <c r="AX119" s="13" t="s">
        <v>77</v>
      </c>
      <c r="AY119" s="157" t="s">
        <v>177</v>
      </c>
    </row>
    <row r="120" spans="2:51" s="12" customFormat="1" ht="11.25">
      <c r="B120" s="149"/>
      <c r="D120" s="142" t="s">
        <v>193</v>
      </c>
      <c r="E120" s="150" t="s">
        <v>3</v>
      </c>
      <c r="F120" s="151" t="s">
        <v>833</v>
      </c>
      <c r="H120" s="152">
        <v>24.63</v>
      </c>
      <c r="I120" s="153"/>
      <c r="L120" s="149"/>
      <c r="M120" s="154"/>
      <c r="T120" s="155"/>
      <c r="AT120" s="150" t="s">
        <v>193</v>
      </c>
      <c r="AU120" s="150" t="s">
        <v>87</v>
      </c>
      <c r="AV120" s="12" t="s">
        <v>87</v>
      </c>
      <c r="AW120" s="12" t="s">
        <v>36</v>
      </c>
      <c r="AX120" s="12" t="s">
        <v>77</v>
      </c>
      <c r="AY120" s="150" t="s">
        <v>177</v>
      </c>
    </row>
    <row r="121" spans="2:51" s="13" customFormat="1" ht="11.25">
      <c r="B121" s="156"/>
      <c r="D121" s="142" t="s">
        <v>193</v>
      </c>
      <c r="E121" s="157" t="s">
        <v>3</v>
      </c>
      <c r="F121" s="158" t="s">
        <v>834</v>
      </c>
      <c r="H121" s="157" t="s">
        <v>3</v>
      </c>
      <c r="I121" s="159"/>
      <c r="L121" s="156"/>
      <c r="M121" s="160"/>
      <c r="T121" s="161"/>
      <c r="AT121" s="157" t="s">
        <v>193</v>
      </c>
      <c r="AU121" s="157" t="s">
        <v>87</v>
      </c>
      <c r="AV121" s="13" t="s">
        <v>85</v>
      </c>
      <c r="AW121" s="13" t="s">
        <v>36</v>
      </c>
      <c r="AX121" s="13" t="s">
        <v>77</v>
      </c>
      <c r="AY121" s="157" t="s">
        <v>177</v>
      </c>
    </row>
    <row r="122" spans="2:51" s="12" customFormat="1" ht="11.25">
      <c r="B122" s="149"/>
      <c r="D122" s="142" t="s">
        <v>193</v>
      </c>
      <c r="E122" s="150" t="s">
        <v>3</v>
      </c>
      <c r="F122" s="151" t="s">
        <v>835</v>
      </c>
      <c r="H122" s="152">
        <v>8.4</v>
      </c>
      <c r="I122" s="153"/>
      <c r="L122" s="149"/>
      <c r="M122" s="154"/>
      <c r="T122" s="155"/>
      <c r="AT122" s="150" t="s">
        <v>193</v>
      </c>
      <c r="AU122" s="150" t="s">
        <v>87</v>
      </c>
      <c r="AV122" s="12" t="s">
        <v>87</v>
      </c>
      <c r="AW122" s="12" t="s">
        <v>36</v>
      </c>
      <c r="AX122" s="12" t="s">
        <v>77</v>
      </c>
      <c r="AY122" s="150" t="s">
        <v>177</v>
      </c>
    </row>
    <row r="123" spans="2:51" s="13" customFormat="1" ht="22.5">
      <c r="B123" s="156"/>
      <c r="D123" s="142" t="s">
        <v>193</v>
      </c>
      <c r="E123" s="157" t="s">
        <v>3</v>
      </c>
      <c r="F123" s="158" t="s">
        <v>836</v>
      </c>
      <c r="H123" s="157" t="s">
        <v>3</v>
      </c>
      <c r="I123" s="159"/>
      <c r="L123" s="156"/>
      <c r="M123" s="160"/>
      <c r="T123" s="161"/>
      <c r="AT123" s="157" t="s">
        <v>193</v>
      </c>
      <c r="AU123" s="157" t="s">
        <v>87</v>
      </c>
      <c r="AV123" s="13" t="s">
        <v>85</v>
      </c>
      <c r="AW123" s="13" t="s">
        <v>36</v>
      </c>
      <c r="AX123" s="13" t="s">
        <v>77</v>
      </c>
      <c r="AY123" s="157" t="s">
        <v>177</v>
      </c>
    </row>
    <row r="124" spans="2:51" s="12" customFormat="1" ht="11.25">
      <c r="B124" s="149"/>
      <c r="D124" s="142" t="s">
        <v>193</v>
      </c>
      <c r="E124" s="150" t="s">
        <v>3</v>
      </c>
      <c r="F124" s="151" t="s">
        <v>837</v>
      </c>
      <c r="H124" s="152">
        <v>35.83</v>
      </c>
      <c r="I124" s="153"/>
      <c r="L124" s="149"/>
      <c r="M124" s="154"/>
      <c r="T124" s="155"/>
      <c r="AT124" s="150" t="s">
        <v>193</v>
      </c>
      <c r="AU124" s="150" t="s">
        <v>87</v>
      </c>
      <c r="AV124" s="12" t="s">
        <v>87</v>
      </c>
      <c r="AW124" s="12" t="s">
        <v>36</v>
      </c>
      <c r="AX124" s="12" t="s">
        <v>77</v>
      </c>
      <c r="AY124" s="150" t="s">
        <v>177</v>
      </c>
    </row>
    <row r="125" spans="2:51" s="15" customFormat="1" ht="11.25">
      <c r="B125" s="169"/>
      <c r="D125" s="142" t="s">
        <v>193</v>
      </c>
      <c r="E125" s="170" t="s">
        <v>3</v>
      </c>
      <c r="F125" s="171" t="s">
        <v>201</v>
      </c>
      <c r="H125" s="172">
        <v>99.16</v>
      </c>
      <c r="I125" s="173"/>
      <c r="L125" s="169"/>
      <c r="M125" s="174"/>
      <c r="T125" s="175"/>
      <c r="AT125" s="170" t="s">
        <v>193</v>
      </c>
      <c r="AU125" s="170" t="s">
        <v>87</v>
      </c>
      <c r="AV125" s="15" t="s">
        <v>185</v>
      </c>
      <c r="AW125" s="15" t="s">
        <v>36</v>
      </c>
      <c r="AX125" s="15" t="s">
        <v>85</v>
      </c>
      <c r="AY125" s="170" t="s">
        <v>177</v>
      </c>
    </row>
    <row r="126" spans="2:65" s="1" customFormat="1" ht="33" customHeight="1">
      <c r="B126" s="128"/>
      <c r="C126" s="129" t="s">
        <v>233</v>
      </c>
      <c r="D126" s="129" t="s">
        <v>180</v>
      </c>
      <c r="E126" s="130" t="s">
        <v>838</v>
      </c>
      <c r="F126" s="131" t="s">
        <v>839</v>
      </c>
      <c r="G126" s="132" t="s">
        <v>476</v>
      </c>
      <c r="H126" s="133">
        <v>1.2</v>
      </c>
      <c r="I126" s="134"/>
      <c r="J126" s="135">
        <f>ROUND(I126*H126,2)</f>
        <v>0</v>
      </c>
      <c r="K126" s="131" t="s">
        <v>184</v>
      </c>
      <c r="L126" s="33"/>
      <c r="M126" s="136" t="s">
        <v>3</v>
      </c>
      <c r="N126" s="137" t="s">
        <v>48</v>
      </c>
      <c r="P126" s="138">
        <f>O126*H126</f>
        <v>0</v>
      </c>
      <c r="Q126" s="138">
        <v>0.0002886</v>
      </c>
      <c r="R126" s="138">
        <f>Q126*H126</f>
        <v>0.00034632</v>
      </c>
      <c r="S126" s="138">
        <v>0</v>
      </c>
      <c r="T126" s="139">
        <f>S126*H126</f>
        <v>0</v>
      </c>
      <c r="AR126" s="140" t="s">
        <v>185</v>
      </c>
      <c r="AT126" s="140" t="s">
        <v>180</v>
      </c>
      <c r="AU126" s="140" t="s">
        <v>87</v>
      </c>
      <c r="AY126" s="18" t="s">
        <v>177</v>
      </c>
      <c r="BE126" s="141">
        <f>IF(N126="základní",J126,0)</f>
        <v>0</v>
      </c>
      <c r="BF126" s="141">
        <f>IF(N126="snížená",J126,0)</f>
        <v>0</v>
      </c>
      <c r="BG126" s="141">
        <f>IF(N126="zákl. přenesená",J126,0)</f>
        <v>0</v>
      </c>
      <c r="BH126" s="141">
        <f>IF(N126="sníž. přenesená",J126,0)</f>
        <v>0</v>
      </c>
      <c r="BI126" s="141">
        <f>IF(N126="nulová",J126,0)</f>
        <v>0</v>
      </c>
      <c r="BJ126" s="18" t="s">
        <v>85</v>
      </c>
      <c r="BK126" s="141">
        <f>ROUND(I126*H126,2)</f>
        <v>0</v>
      </c>
      <c r="BL126" s="18" t="s">
        <v>185</v>
      </c>
      <c r="BM126" s="140" t="s">
        <v>840</v>
      </c>
    </row>
    <row r="127" spans="2:47" s="1" customFormat="1" ht="29.25">
      <c r="B127" s="33"/>
      <c r="D127" s="142" t="s">
        <v>187</v>
      </c>
      <c r="F127" s="143" t="s">
        <v>841</v>
      </c>
      <c r="I127" s="144"/>
      <c r="L127" s="33"/>
      <c r="M127" s="145"/>
      <c r="T127" s="54"/>
      <c r="AT127" s="18" t="s">
        <v>187</v>
      </c>
      <c r="AU127" s="18" t="s">
        <v>87</v>
      </c>
    </row>
    <row r="128" spans="2:47" s="1" customFormat="1" ht="11.25">
      <c r="B128" s="33"/>
      <c r="D128" s="146" t="s">
        <v>189</v>
      </c>
      <c r="F128" s="147" t="s">
        <v>842</v>
      </c>
      <c r="I128" s="144"/>
      <c r="L128" s="33"/>
      <c r="M128" s="145"/>
      <c r="T128" s="54"/>
      <c r="AT128" s="18" t="s">
        <v>189</v>
      </c>
      <c r="AU128" s="18" t="s">
        <v>87</v>
      </c>
    </row>
    <row r="129" spans="2:47" s="1" customFormat="1" ht="97.5">
      <c r="B129" s="33"/>
      <c r="D129" s="142" t="s">
        <v>191</v>
      </c>
      <c r="F129" s="148" t="s">
        <v>821</v>
      </c>
      <c r="I129" s="144"/>
      <c r="L129" s="33"/>
      <c r="M129" s="145"/>
      <c r="T129" s="54"/>
      <c r="AT129" s="18" t="s">
        <v>191</v>
      </c>
      <c r="AU129" s="18" t="s">
        <v>87</v>
      </c>
    </row>
    <row r="130" spans="2:51" s="13" customFormat="1" ht="22.5">
      <c r="B130" s="156"/>
      <c r="D130" s="142" t="s">
        <v>193</v>
      </c>
      <c r="E130" s="157" t="s">
        <v>3</v>
      </c>
      <c r="F130" s="158" t="s">
        <v>836</v>
      </c>
      <c r="H130" s="157" t="s">
        <v>3</v>
      </c>
      <c r="I130" s="159"/>
      <c r="L130" s="156"/>
      <c r="M130" s="160"/>
      <c r="T130" s="161"/>
      <c r="AT130" s="157" t="s">
        <v>193</v>
      </c>
      <c r="AU130" s="157" t="s">
        <v>87</v>
      </c>
      <c r="AV130" s="13" t="s">
        <v>85</v>
      </c>
      <c r="AW130" s="13" t="s">
        <v>36</v>
      </c>
      <c r="AX130" s="13" t="s">
        <v>77</v>
      </c>
      <c r="AY130" s="157" t="s">
        <v>177</v>
      </c>
    </row>
    <row r="131" spans="2:51" s="12" customFormat="1" ht="11.25">
      <c r="B131" s="149"/>
      <c r="D131" s="142" t="s">
        <v>193</v>
      </c>
      <c r="E131" s="150" t="s">
        <v>3</v>
      </c>
      <c r="F131" s="151" t="s">
        <v>843</v>
      </c>
      <c r="H131" s="152">
        <v>1.2</v>
      </c>
      <c r="I131" s="153"/>
      <c r="L131" s="149"/>
      <c r="M131" s="154"/>
      <c r="T131" s="155"/>
      <c r="AT131" s="150" t="s">
        <v>193</v>
      </c>
      <c r="AU131" s="150" t="s">
        <v>87</v>
      </c>
      <c r="AV131" s="12" t="s">
        <v>87</v>
      </c>
      <c r="AW131" s="12" t="s">
        <v>36</v>
      </c>
      <c r="AX131" s="12" t="s">
        <v>85</v>
      </c>
      <c r="AY131" s="150" t="s">
        <v>177</v>
      </c>
    </row>
    <row r="132" spans="2:65" s="1" customFormat="1" ht="24.2" customHeight="1">
      <c r="B132" s="128"/>
      <c r="C132" s="129" t="s">
        <v>241</v>
      </c>
      <c r="D132" s="129" t="s">
        <v>180</v>
      </c>
      <c r="E132" s="130" t="s">
        <v>844</v>
      </c>
      <c r="F132" s="131" t="s">
        <v>845</v>
      </c>
      <c r="G132" s="132" t="s">
        <v>806</v>
      </c>
      <c r="H132" s="133">
        <v>2509.2</v>
      </c>
      <c r="I132" s="134"/>
      <c r="J132" s="135">
        <f>ROUND(I132*H132,2)</f>
        <v>0</v>
      </c>
      <c r="K132" s="131" t="s">
        <v>184</v>
      </c>
      <c r="L132" s="33"/>
      <c r="M132" s="136" t="s">
        <v>3</v>
      </c>
      <c r="N132" s="137" t="s">
        <v>48</v>
      </c>
      <c r="P132" s="138">
        <f>O132*H132</f>
        <v>0</v>
      </c>
      <c r="Q132" s="138">
        <v>0</v>
      </c>
      <c r="R132" s="138">
        <f>Q132*H132</f>
        <v>0</v>
      </c>
      <c r="S132" s="138">
        <v>0.66</v>
      </c>
      <c r="T132" s="139">
        <f>S132*H132</f>
        <v>1656.072</v>
      </c>
      <c r="AR132" s="140" t="s">
        <v>185</v>
      </c>
      <c r="AT132" s="140" t="s">
        <v>180</v>
      </c>
      <c r="AU132" s="140" t="s">
        <v>87</v>
      </c>
      <c r="AY132" s="18" t="s">
        <v>177</v>
      </c>
      <c r="BE132" s="141">
        <f>IF(N132="základní",J132,0)</f>
        <v>0</v>
      </c>
      <c r="BF132" s="141">
        <f>IF(N132="snížená",J132,0)</f>
        <v>0</v>
      </c>
      <c r="BG132" s="141">
        <f>IF(N132="zákl. přenesená",J132,0)</f>
        <v>0</v>
      </c>
      <c r="BH132" s="141">
        <f>IF(N132="sníž. přenesená",J132,0)</f>
        <v>0</v>
      </c>
      <c r="BI132" s="141">
        <f>IF(N132="nulová",J132,0)</f>
        <v>0</v>
      </c>
      <c r="BJ132" s="18" t="s">
        <v>85</v>
      </c>
      <c r="BK132" s="141">
        <f>ROUND(I132*H132,2)</f>
        <v>0</v>
      </c>
      <c r="BL132" s="18" t="s">
        <v>185</v>
      </c>
      <c r="BM132" s="140" t="s">
        <v>846</v>
      </c>
    </row>
    <row r="133" spans="2:47" s="1" customFormat="1" ht="29.25">
      <c r="B133" s="33"/>
      <c r="D133" s="142" t="s">
        <v>187</v>
      </c>
      <c r="F133" s="143" t="s">
        <v>847</v>
      </c>
      <c r="I133" s="144"/>
      <c r="L133" s="33"/>
      <c r="M133" s="145"/>
      <c r="T133" s="54"/>
      <c r="AT133" s="18" t="s">
        <v>187</v>
      </c>
      <c r="AU133" s="18" t="s">
        <v>87</v>
      </c>
    </row>
    <row r="134" spans="2:47" s="1" customFormat="1" ht="11.25">
      <c r="B134" s="33"/>
      <c r="D134" s="146" t="s">
        <v>189</v>
      </c>
      <c r="F134" s="147" t="s">
        <v>848</v>
      </c>
      <c r="I134" s="144"/>
      <c r="L134" s="33"/>
      <c r="M134" s="145"/>
      <c r="T134" s="54"/>
      <c r="AT134" s="18" t="s">
        <v>189</v>
      </c>
      <c r="AU134" s="18" t="s">
        <v>87</v>
      </c>
    </row>
    <row r="135" spans="2:47" s="1" customFormat="1" ht="214.5">
      <c r="B135" s="33"/>
      <c r="D135" s="142" t="s">
        <v>191</v>
      </c>
      <c r="F135" s="148" t="s">
        <v>849</v>
      </c>
      <c r="I135" s="144"/>
      <c r="L135" s="33"/>
      <c r="M135" s="145"/>
      <c r="T135" s="54"/>
      <c r="AT135" s="18" t="s">
        <v>191</v>
      </c>
      <c r="AU135" s="18" t="s">
        <v>87</v>
      </c>
    </row>
    <row r="136" spans="2:51" s="12" customFormat="1" ht="11.25">
      <c r="B136" s="149"/>
      <c r="D136" s="142" t="s">
        <v>193</v>
      </c>
      <c r="E136" s="150" t="s">
        <v>3</v>
      </c>
      <c r="F136" s="151" t="s">
        <v>850</v>
      </c>
      <c r="H136" s="152">
        <v>2509.2</v>
      </c>
      <c r="I136" s="153"/>
      <c r="L136" s="149"/>
      <c r="M136" s="154"/>
      <c r="T136" s="155"/>
      <c r="AT136" s="150" t="s">
        <v>193</v>
      </c>
      <c r="AU136" s="150" t="s">
        <v>87</v>
      </c>
      <c r="AV136" s="12" t="s">
        <v>87</v>
      </c>
      <c r="AW136" s="12" t="s">
        <v>36</v>
      </c>
      <c r="AX136" s="12" t="s">
        <v>85</v>
      </c>
      <c r="AY136" s="150" t="s">
        <v>177</v>
      </c>
    </row>
    <row r="137" spans="2:65" s="1" customFormat="1" ht="16.5" customHeight="1">
      <c r="B137" s="128"/>
      <c r="C137" s="129" t="s">
        <v>248</v>
      </c>
      <c r="D137" s="129" t="s">
        <v>180</v>
      </c>
      <c r="E137" s="130" t="s">
        <v>851</v>
      </c>
      <c r="F137" s="131" t="s">
        <v>852</v>
      </c>
      <c r="G137" s="132" t="s">
        <v>243</v>
      </c>
      <c r="H137" s="133">
        <v>1</v>
      </c>
      <c r="I137" s="134"/>
      <c r="J137" s="135">
        <f>ROUND(I137*H137,2)</f>
        <v>0</v>
      </c>
      <c r="K137" s="131" t="s">
        <v>244</v>
      </c>
      <c r="L137" s="33"/>
      <c r="M137" s="136" t="s">
        <v>3</v>
      </c>
      <c r="N137" s="137" t="s">
        <v>48</v>
      </c>
      <c r="P137" s="138">
        <f>O137*H137</f>
        <v>0</v>
      </c>
      <c r="Q137" s="138">
        <v>0</v>
      </c>
      <c r="R137" s="138">
        <f>Q137*H137</f>
        <v>0</v>
      </c>
      <c r="S137" s="138">
        <v>0</v>
      </c>
      <c r="T137" s="139">
        <f>S137*H137</f>
        <v>0</v>
      </c>
      <c r="AR137" s="140" t="s">
        <v>185</v>
      </c>
      <c r="AT137" s="140" t="s">
        <v>180</v>
      </c>
      <c r="AU137" s="140" t="s">
        <v>87</v>
      </c>
      <c r="AY137" s="18" t="s">
        <v>177</v>
      </c>
      <c r="BE137" s="141">
        <f>IF(N137="základní",J137,0)</f>
        <v>0</v>
      </c>
      <c r="BF137" s="141">
        <f>IF(N137="snížená",J137,0)</f>
        <v>0</v>
      </c>
      <c r="BG137" s="141">
        <f>IF(N137="zákl. přenesená",J137,0)</f>
        <v>0</v>
      </c>
      <c r="BH137" s="141">
        <f>IF(N137="sníž. přenesená",J137,0)</f>
        <v>0</v>
      </c>
      <c r="BI137" s="141">
        <f>IF(N137="nulová",J137,0)</f>
        <v>0</v>
      </c>
      <c r="BJ137" s="18" t="s">
        <v>85</v>
      </c>
      <c r="BK137" s="141">
        <f>ROUND(I137*H137,2)</f>
        <v>0</v>
      </c>
      <c r="BL137" s="18" t="s">
        <v>185</v>
      </c>
      <c r="BM137" s="140" t="s">
        <v>853</v>
      </c>
    </row>
    <row r="138" spans="2:47" s="1" customFormat="1" ht="11.25">
      <c r="B138" s="33"/>
      <c r="D138" s="142" t="s">
        <v>187</v>
      </c>
      <c r="F138" s="143" t="s">
        <v>852</v>
      </c>
      <c r="I138" s="144"/>
      <c r="L138" s="33"/>
      <c r="M138" s="145"/>
      <c r="T138" s="54"/>
      <c r="AT138" s="18" t="s">
        <v>187</v>
      </c>
      <c r="AU138" s="18" t="s">
        <v>87</v>
      </c>
    </row>
    <row r="139" spans="2:63" s="11" customFormat="1" ht="22.9" customHeight="1">
      <c r="B139" s="116"/>
      <c r="D139" s="117" t="s">
        <v>76</v>
      </c>
      <c r="E139" s="126" t="s">
        <v>178</v>
      </c>
      <c r="F139" s="126" t="s">
        <v>179</v>
      </c>
      <c r="I139" s="119"/>
      <c r="J139" s="127">
        <f>BK139</f>
        <v>0</v>
      </c>
      <c r="L139" s="116"/>
      <c r="M139" s="121"/>
      <c r="P139" s="122">
        <f>SUM(P140:P176)</f>
        <v>0</v>
      </c>
      <c r="R139" s="122">
        <f>SUM(R140:R176)</f>
        <v>0</v>
      </c>
      <c r="T139" s="123">
        <f>SUM(T140:T176)</f>
        <v>0</v>
      </c>
      <c r="AR139" s="117" t="s">
        <v>85</v>
      </c>
      <c r="AT139" s="124" t="s">
        <v>76</v>
      </c>
      <c r="AU139" s="124" t="s">
        <v>85</v>
      </c>
      <c r="AY139" s="117" t="s">
        <v>177</v>
      </c>
      <c r="BK139" s="125">
        <f>SUM(BK140:BK176)</f>
        <v>0</v>
      </c>
    </row>
    <row r="140" spans="2:65" s="1" customFormat="1" ht="24.2" customHeight="1">
      <c r="B140" s="128"/>
      <c r="C140" s="129" t="s">
        <v>252</v>
      </c>
      <c r="D140" s="129" t="s">
        <v>180</v>
      </c>
      <c r="E140" s="130" t="s">
        <v>854</v>
      </c>
      <c r="F140" s="131" t="s">
        <v>855</v>
      </c>
      <c r="G140" s="132" t="s">
        <v>183</v>
      </c>
      <c r="H140" s="133">
        <v>1690.121</v>
      </c>
      <c r="I140" s="134"/>
      <c r="J140" s="135">
        <f>ROUND(I140*H140,2)</f>
        <v>0</v>
      </c>
      <c r="K140" s="131" t="s">
        <v>184</v>
      </c>
      <c r="L140" s="33"/>
      <c r="M140" s="136" t="s">
        <v>3</v>
      </c>
      <c r="N140" s="137" t="s">
        <v>48</v>
      </c>
      <c r="P140" s="138">
        <f>O140*H140</f>
        <v>0</v>
      </c>
      <c r="Q140" s="138">
        <v>0</v>
      </c>
      <c r="R140" s="138">
        <f>Q140*H140</f>
        <v>0</v>
      </c>
      <c r="S140" s="138">
        <v>0</v>
      </c>
      <c r="T140" s="139">
        <f>S140*H140</f>
        <v>0</v>
      </c>
      <c r="AR140" s="140" t="s">
        <v>185</v>
      </c>
      <c r="AT140" s="140" t="s">
        <v>180</v>
      </c>
      <c r="AU140" s="140" t="s">
        <v>87</v>
      </c>
      <c r="AY140" s="18" t="s">
        <v>177</v>
      </c>
      <c r="BE140" s="141">
        <f>IF(N140="základní",J140,0)</f>
        <v>0</v>
      </c>
      <c r="BF140" s="141">
        <f>IF(N140="snížená",J140,0)</f>
        <v>0</v>
      </c>
      <c r="BG140" s="141">
        <f>IF(N140="zákl. přenesená",J140,0)</f>
        <v>0</v>
      </c>
      <c r="BH140" s="141">
        <f>IF(N140="sníž. přenesená",J140,0)</f>
        <v>0</v>
      </c>
      <c r="BI140" s="141">
        <f>IF(N140="nulová",J140,0)</f>
        <v>0</v>
      </c>
      <c r="BJ140" s="18" t="s">
        <v>85</v>
      </c>
      <c r="BK140" s="141">
        <f>ROUND(I140*H140,2)</f>
        <v>0</v>
      </c>
      <c r="BL140" s="18" t="s">
        <v>185</v>
      </c>
      <c r="BM140" s="140" t="s">
        <v>856</v>
      </c>
    </row>
    <row r="141" spans="2:47" s="1" customFormat="1" ht="19.5">
      <c r="B141" s="33"/>
      <c r="D141" s="142" t="s">
        <v>187</v>
      </c>
      <c r="F141" s="143" t="s">
        <v>857</v>
      </c>
      <c r="I141" s="144"/>
      <c r="L141" s="33"/>
      <c r="M141" s="145"/>
      <c r="T141" s="54"/>
      <c r="AT141" s="18" t="s">
        <v>187</v>
      </c>
      <c r="AU141" s="18" t="s">
        <v>87</v>
      </c>
    </row>
    <row r="142" spans="2:47" s="1" customFormat="1" ht="11.25">
      <c r="B142" s="33"/>
      <c r="D142" s="146" t="s">
        <v>189</v>
      </c>
      <c r="F142" s="147" t="s">
        <v>858</v>
      </c>
      <c r="I142" s="144"/>
      <c r="L142" s="33"/>
      <c r="M142" s="145"/>
      <c r="T142" s="54"/>
      <c r="AT142" s="18" t="s">
        <v>189</v>
      </c>
      <c r="AU142" s="18" t="s">
        <v>87</v>
      </c>
    </row>
    <row r="143" spans="2:47" s="1" customFormat="1" ht="68.25">
      <c r="B143" s="33"/>
      <c r="D143" s="142" t="s">
        <v>191</v>
      </c>
      <c r="F143" s="148" t="s">
        <v>859</v>
      </c>
      <c r="I143" s="144"/>
      <c r="L143" s="33"/>
      <c r="M143" s="145"/>
      <c r="T143" s="54"/>
      <c r="AT143" s="18" t="s">
        <v>191</v>
      </c>
      <c r="AU143" s="18" t="s">
        <v>87</v>
      </c>
    </row>
    <row r="144" spans="2:65" s="1" customFormat="1" ht="24.2" customHeight="1">
      <c r="B144" s="128"/>
      <c r="C144" s="129" t="s">
        <v>258</v>
      </c>
      <c r="D144" s="129" t="s">
        <v>180</v>
      </c>
      <c r="E144" s="130" t="s">
        <v>860</v>
      </c>
      <c r="F144" s="131" t="s">
        <v>861</v>
      </c>
      <c r="G144" s="132" t="s">
        <v>183</v>
      </c>
      <c r="H144" s="133">
        <v>1690.121</v>
      </c>
      <c r="I144" s="134"/>
      <c r="J144" s="135">
        <f>ROUND(I144*H144,2)</f>
        <v>0</v>
      </c>
      <c r="K144" s="131" t="s">
        <v>184</v>
      </c>
      <c r="L144" s="33"/>
      <c r="M144" s="136" t="s">
        <v>3</v>
      </c>
      <c r="N144" s="137" t="s">
        <v>48</v>
      </c>
      <c r="P144" s="138">
        <f>O144*H144</f>
        <v>0</v>
      </c>
      <c r="Q144" s="138">
        <v>0</v>
      </c>
      <c r="R144" s="138">
        <f>Q144*H144</f>
        <v>0</v>
      </c>
      <c r="S144" s="138">
        <v>0</v>
      </c>
      <c r="T144" s="139">
        <f>S144*H144</f>
        <v>0</v>
      </c>
      <c r="AR144" s="140" t="s">
        <v>185</v>
      </c>
      <c r="AT144" s="140" t="s">
        <v>180</v>
      </c>
      <c r="AU144" s="140" t="s">
        <v>87</v>
      </c>
      <c r="AY144" s="18" t="s">
        <v>177</v>
      </c>
      <c r="BE144" s="141">
        <f>IF(N144="základní",J144,0)</f>
        <v>0</v>
      </c>
      <c r="BF144" s="141">
        <f>IF(N144="snížená",J144,0)</f>
        <v>0</v>
      </c>
      <c r="BG144" s="141">
        <f>IF(N144="zákl. přenesená",J144,0)</f>
        <v>0</v>
      </c>
      <c r="BH144" s="141">
        <f>IF(N144="sníž. přenesená",J144,0)</f>
        <v>0</v>
      </c>
      <c r="BI144" s="141">
        <f>IF(N144="nulová",J144,0)</f>
        <v>0</v>
      </c>
      <c r="BJ144" s="18" t="s">
        <v>85</v>
      </c>
      <c r="BK144" s="141">
        <f>ROUND(I144*H144,2)</f>
        <v>0</v>
      </c>
      <c r="BL144" s="18" t="s">
        <v>185</v>
      </c>
      <c r="BM144" s="140" t="s">
        <v>862</v>
      </c>
    </row>
    <row r="145" spans="2:47" s="1" customFormat="1" ht="19.5">
      <c r="B145" s="33"/>
      <c r="D145" s="142" t="s">
        <v>187</v>
      </c>
      <c r="F145" s="143" t="s">
        <v>863</v>
      </c>
      <c r="I145" s="144"/>
      <c r="L145" s="33"/>
      <c r="M145" s="145"/>
      <c r="T145" s="54"/>
      <c r="AT145" s="18" t="s">
        <v>187</v>
      </c>
      <c r="AU145" s="18" t="s">
        <v>87</v>
      </c>
    </row>
    <row r="146" spans="2:47" s="1" customFormat="1" ht="11.25">
      <c r="B146" s="33"/>
      <c r="D146" s="146" t="s">
        <v>189</v>
      </c>
      <c r="F146" s="147" t="s">
        <v>864</v>
      </c>
      <c r="I146" s="144"/>
      <c r="L146" s="33"/>
      <c r="M146" s="145"/>
      <c r="T146" s="54"/>
      <c r="AT146" s="18" t="s">
        <v>189</v>
      </c>
      <c r="AU146" s="18" t="s">
        <v>87</v>
      </c>
    </row>
    <row r="147" spans="2:47" s="1" customFormat="1" ht="39">
      <c r="B147" s="33"/>
      <c r="D147" s="142" t="s">
        <v>191</v>
      </c>
      <c r="F147" s="148" t="s">
        <v>865</v>
      </c>
      <c r="I147" s="144"/>
      <c r="L147" s="33"/>
      <c r="M147" s="145"/>
      <c r="T147" s="54"/>
      <c r="AT147" s="18" t="s">
        <v>191</v>
      </c>
      <c r="AU147" s="18" t="s">
        <v>87</v>
      </c>
    </row>
    <row r="148" spans="2:65" s="1" customFormat="1" ht="24.2" customHeight="1">
      <c r="B148" s="128"/>
      <c r="C148" s="129" t="s">
        <v>265</v>
      </c>
      <c r="D148" s="129" t="s">
        <v>180</v>
      </c>
      <c r="E148" s="130" t="s">
        <v>866</v>
      </c>
      <c r="F148" s="131" t="s">
        <v>867</v>
      </c>
      <c r="G148" s="132" t="s">
        <v>183</v>
      </c>
      <c r="H148" s="133">
        <v>244.449</v>
      </c>
      <c r="I148" s="134"/>
      <c r="J148" s="135">
        <f>ROUND(I148*H148,2)</f>
        <v>0</v>
      </c>
      <c r="K148" s="131" t="s">
        <v>184</v>
      </c>
      <c r="L148" s="33"/>
      <c r="M148" s="136" t="s">
        <v>3</v>
      </c>
      <c r="N148" s="137" t="s">
        <v>48</v>
      </c>
      <c r="P148" s="138">
        <f>O148*H148</f>
        <v>0</v>
      </c>
      <c r="Q148" s="138">
        <v>0</v>
      </c>
      <c r="R148" s="138">
        <f>Q148*H148</f>
        <v>0</v>
      </c>
      <c r="S148" s="138">
        <v>0</v>
      </c>
      <c r="T148" s="139">
        <f>S148*H148</f>
        <v>0</v>
      </c>
      <c r="AR148" s="140" t="s">
        <v>185</v>
      </c>
      <c r="AT148" s="140" t="s">
        <v>180</v>
      </c>
      <c r="AU148" s="140" t="s">
        <v>87</v>
      </c>
      <c r="AY148" s="18" t="s">
        <v>177</v>
      </c>
      <c r="BE148" s="141">
        <f>IF(N148="základní",J148,0)</f>
        <v>0</v>
      </c>
      <c r="BF148" s="141">
        <f>IF(N148="snížená",J148,0)</f>
        <v>0</v>
      </c>
      <c r="BG148" s="141">
        <f>IF(N148="zákl. přenesená",J148,0)</f>
        <v>0</v>
      </c>
      <c r="BH148" s="141">
        <f>IF(N148="sníž. přenesená",J148,0)</f>
        <v>0</v>
      </c>
      <c r="BI148" s="141">
        <f>IF(N148="nulová",J148,0)</f>
        <v>0</v>
      </c>
      <c r="BJ148" s="18" t="s">
        <v>85</v>
      </c>
      <c r="BK148" s="141">
        <f>ROUND(I148*H148,2)</f>
        <v>0</v>
      </c>
      <c r="BL148" s="18" t="s">
        <v>185</v>
      </c>
      <c r="BM148" s="140" t="s">
        <v>868</v>
      </c>
    </row>
    <row r="149" spans="2:47" s="1" customFormat="1" ht="19.5">
      <c r="B149" s="33"/>
      <c r="D149" s="142" t="s">
        <v>187</v>
      </c>
      <c r="F149" s="143" t="s">
        <v>869</v>
      </c>
      <c r="I149" s="144"/>
      <c r="L149" s="33"/>
      <c r="M149" s="145"/>
      <c r="T149" s="54"/>
      <c r="AT149" s="18" t="s">
        <v>187</v>
      </c>
      <c r="AU149" s="18" t="s">
        <v>87</v>
      </c>
    </row>
    <row r="150" spans="2:47" s="1" customFormat="1" ht="11.25">
      <c r="B150" s="33"/>
      <c r="D150" s="146" t="s">
        <v>189</v>
      </c>
      <c r="F150" s="147" t="s">
        <v>870</v>
      </c>
      <c r="I150" s="144"/>
      <c r="L150" s="33"/>
      <c r="M150" s="145"/>
      <c r="T150" s="54"/>
      <c r="AT150" s="18" t="s">
        <v>189</v>
      </c>
      <c r="AU150" s="18" t="s">
        <v>87</v>
      </c>
    </row>
    <row r="151" spans="2:47" s="1" customFormat="1" ht="39">
      <c r="B151" s="33"/>
      <c r="D151" s="142" t="s">
        <v>191</v>
      </c>
      <c r="F151" s="148" t="s">
        <v>865</v>
      </c>
      <c r="I151" s="144"/>
      <c r="L151" s="33"/>
      <c r="M151" s="145"/>
      <c r="T151" s="54"/>
      <c r="AT151" s="18" t="s">
        <v>191</v>
      </c>
      <c r="AU151" s="18" t="s">
        <v>87</v>
      </c>
    </row>
    <row r="152" spans="2:51" s="13" customFormat="1" ht="11.25">
      <c r="B152" s="156"/>
      <c r="D152" s="142" t="s">
        <v>193</v>
      </c>
      <c r="E152" s="157" t="s">
        <v>3</v>
      </c>
      <c r="F152" s="158" t="s">
        <v>871</v>
      </c>
      <c r="H152" s="157" t="s">
        <v>3</v>
      </c>
      <c r="I152" s="159"/>
      <c r="L152" s="156"/>
      <c r="M152" s="160"/>
      <c r="T152" s="161"/>
      <c r="AT152" s="157" t="s">
        <v>193</v>
      </c>
      <c r="AU152" s="157" t="s">
        <v>87</v>
      </c>
      <c r="AV152" s="13" t="s">
        <v>85</v>
      </c>
      <c r="AW152" s="13" t="s">
        <v>36</v>
      </c>
      <c r="AX152" s="13" t="s">
        <v>77</v>
      </c>
      <c r="AY152" s="157" t="s">
        <v>177</v>
      </c>
    </row>
    <row r="153" spans="2:51" s="12" customFormat="1" ht="11.25">
      <c r="B153" s="149"/>
      <c r="D153" s="142" t="s">
        <v>193</v>
      </c>
      <c r="E153" s="150" t="s">
        <v>3</v>
      </c>
      <c r="F153" s="151" t="s">
        <v>872</v>
      </c>
      <c r="H153" s="152">
        <v>1690.121</v>
      </c>
      <c r="I153" s="153"/>
      <c r="L153" s="149"/>
      <c r="M153" s="154"/>
      <c r="T153" s="155"/>
      <c r="AT153" s="150" t="s">
        <v>193</v>
      </c>
      <c r="AU153" s="150" t="s">
        <v>87</v>
      </c>
      <c r="AV153" s="12" t="s">
        <v>87</v>
      </c>
      <c r="AW153" s="12" t="s">
        <v>36</v>
      </c>
      <c r="AX153" s="12" t="s">
        <v>77</v>
      </c>
      <c r="AY153" s="150" t="s">
        <v>177</v>
      </c>
    </row>
    <row r="154" spans="2:51" s="12" customFormat="1" ht="11.25">
      <c r="B154" s="149"/>
      <c r="D154" s="142" t="s">
        <v>193</v>
      </c>
      <c r="E154" s="150" t="s">
        <v>3</v>
      </c>
      <c r="F154" s="151" t="s">
        <v>873</v>
      </c>
      <c r="H154" s="152">
        <v>-1445.672</v>
      </c>
      <c r="I154" s="153"/>
      <c r="L154" s="149"/>
      <c r="M154" s="154"/>
      <c r="T154" s="155"/>
      <c r="AT154" s="150" t="s">
        <v>193</v>
      </c>
      <c r="AU154" s="150" t="s">
        <v>87</v>
      </c>
      <c r="AV154" s="12" t="s">
        <v>87</v>
      </c>
      <c r="AW154" s="12" t="s">
        <v>36</v>
      </c>
      <c r="AX154" s="12" t="s">
        <v>77</v>
      </c>
      <c r="AY154" s="150" t="s">
        <v>177</v>
      </c>
    </row>
    <row r="155" spans="2:51" s="15" customFormat="1" ht="11.25">
      <c r="B155" s="169"/>
      <c r="D155" s="142" t="s">
        <v>193</v>
      </c>
      <c r="E155" s="170" t="s">
        <v>3</v>
      </c>
      <c r="F155" s="171" t="s">
        <v>201</v>
      </c>
      <c r="H155" s="172">
        <v>244.44900000000007</v>
      </c>
      <c r="I155" s="173"/>
      <c r="L155" s="169"/>
      <c r="M155" s="174"/>
      <c r="T155" s="175"/>
      <c r="AT155" s="170" t="s">
        <v>193</v>
      </c>
      <c r="AU155" s="170" t="s">
        <v>87</v>
      </c>
      <c r="AV155" s="15" t="s">
        <v>185</v>
      </c>
      <c r="AW155" s="15" t="s">
        <v>36</v>
      </c>
      <c r="AX155" s="15" t="s">
        <v>85</v>
      </c>
      <c r="AY155" s="170" t="s">
        <v>177</v>
      </c>
    </row>
    <row r="156" spans="2:65" s="1" customFormat="1" ht="24.2" customHeight="1">
      <c r="B156" s="128"/>
      <c r="C156" s="129" t="s">
        <v>271</v>
      </c>
      <c r="D156" s="129" t="s">
        <v>180</v>
      </c>
      <c r="E156" s="130" t="s">
        <v>874</v>
      </c>
      <c r="F156" s="131" t="s">
        <v>875</v>
      </c>
      <c r="G156" s="132" t="s">
        <v>183</v>
      </c>
      <c r="H156" s="133">
        <v>4644.531</v>
      </c>
      <c r="I156" s="134"/>
      <c r="J156" s="135">
        <f>ROUND(I156*H156,2)</f>
        <v>0</v>
      </c>
      <c r="K156" s="131" t="s">
        <v>184</v>
      </c>
      <c r="L156" s="33"/>
      <c r="M156" s="136" t="s">
        <v>3</v>
      </c>
      <c r="N156" s="137" t="s">
        <v>48</v>
      </c>
      <c r="P156" s="138">
        <f>O156*H156</f>
        <v>0</v>
      </c>
      <c r="Q156" s="138">
        <v>0</v>
      </c>
      <c r="R156" s="138">
        <f>Q156*H156</f>
        <v>0</v>
      </c>
      <c r="S156" s="138">
        <v>0</v>
      </c>
      <c r="T156" s="139">
        <f>S156*H156</f>
        <v>0</v>
      </c>
      <c r="AR156" s="140" t="s">
        <v>185</v>
      </c>
      <c r="AT156" s="140" t="s">
        <v>180</v>
      </c>
      <c r="AU156" s="140" t="s">
        <v>87</v>
      </c>
      <c r="AY156" s="18" t="s">
        <v>177</v>
      </c>
      <c r="BE156" s="141">
        <f>IF(N156="základní",J156,0)</f>
        <v>0</v>
      </c>
      <c r="BF156" s="141">
        <f>IF(N156="snížená",J156,0)</f>
        <v>0</v>
      </c>
      <c r="BG156" s="141">
        <f>IF(N156="zákl. přenesená",J156,0)</f>
        <v>0</v>
      </c>
      <c r="BH156" s="141">
        <f>IF(N156="sníž. přenesená",J156,0)</f>
        <v>0</v>
      </c>
      <c r="BI156" s="141">
        <f>IF(N156="nulová",J156,0)</f>
        <v>0</v>
      </c>
      <c r="BJ156" s="18" t="s">
        <v>85</v>
      </c>
      <c r="BK156" s="141">
        <f>ROUND(I156*H156,2)</f>
        <v>0</v>
      </c>
      <c r="BL156" s="18" t="s">
        <v>185</v>
      </c>
      <c r="BM156" s="140" t="s">
        <v>876</v>
      </c>
    </row>
    <row r="157" spans="2:47" s="1" customFormat="1" ht="19.5">
      <c r="B157" s="33"/>
      <c r="D157" s="142" t="s">
        <v>187</v>
      </c>
      <c r="F157" s="143" t="s">
        <v>877</v>
      </c>
      <c r="I157" s="144"/>
      <c r="L157" s="33"/>
      <c r="M157" s="145"/>
      <c r="T157" s="54"/>
      <c r="AT157" s="18" t="s">
        <v>187</v>
      </c>
      <c r="AU157" s="18" t="s">
        <v>87</v>
      </c>
    </row>
    <row r="158" spans="2:47" s="1" customFormat="1" ht="11.25">
      <c r="B158" s="33"/>
      <c r="D158" s="146" t="s">
        <v>189</v>
      </c>
      <c r="F158" s="147" t="s">
        <v>878</v>
      </c>
      <c r="I158" s="144"/>
      <c r="L158" s="33"/>
      <c r="M158" s="145"/>
      <c r="T158" s="54"/>
      <c r="AT158" s="18" t="s">
        <v>189</v>
      </c>
      <c r="AU158" s="18" t="s">
        <v>87</v>
      </c>
    </row>
    <row r="159" spans="2:47" s="1" customFormat="1" ht="39">
      <c r="B159" s="33"/>
      <c r="D159" s="142" t="s">
        <v>191</v>
      </c>
      <c r="F159" s="148" t="s">
        <v>865</v>
      </c>
      <c r="I159" s="144"/>
      <c r="L159" s="33"/>
      <c r="M159" s="145"/>
      <c r="T159" s="54"/>
      <c r="AT159" s="18" t="s">
        <v>191</v>
      </c>
      <c r="AU159" s="18" t="s">
        <v>87</v>
      </c>
    </row>
    <row r="160" spans="2:51" s="12" customFormat="1" ht="11.25">
      <c r="B160" s="149"/>
      <c r="D160" s="142" t="s">
        <v>193</v>
      </c>
      <c r="F160" s="151" t="s">
        <v>879</v>
      </c>
      <c r="H160" s="152">
        <v>4644.531</v>
      </c>
      <c r="I160" s="153"/>
      <c r="L160" s="149"/>
      <c r="M160" s="154"/>
      <c r="T160" s="155"/>
      <c r="AT160" s="150" t="s">
        <v>193</v>
      </c>
      <c r="AU160" s="150" t="s">
        <v>87</v>
      </c>
      <c r="AV160" s="12" t="s">
        <v>87</v>
      </c>
      <c r="AW160" s="12" t="s">
        <v>4</v>
      </c>
      <c r="AX160" s="12" t="s">
        <v>85</v>
      </c>
      <c r="AY160" s="150" t="s">
        <v>177</v>
      </c>
    </row>
    <row r="161" spans="2:65" s="1" customFormat="1" ht="16.5" customHeight="1">
      <c r="B161" s="128"/>
      <c r="C161" s="129" t="s">
        <v>277</v>
      </c>
      <c r="D161" s="129" t="s">
        <v>180</v>
      </c>
      <c r="E161" s="130" t="s">
        <v>880</v>
      </c>
      <c r="F161" s="131" t="s">
        <v>881</v>
      </c>
      <c r="G161" s="132" t="s">
        <v>183</v>
      </c>
      <c r="H161" s="133">
        <v>1690.121</v>
      </c>
      <c r="I161" s="134"/>
      <c r="J161" s="135">
        <f>ROUND(I161*H161,2)</f>
        <v>0</v>
      </c>
      <c r="K161" s="131" t="s">
        <v>184</v>
      </c>
      <c r="L161" s="33"/>
      <c r="M161" s="136" t="s">
        <v>3</v>
      </c>
      <c r="N161" s="137" t="s">
        <v>48</v>
      </c>
      <c r="P161" s="138">
        <f>O161*H161</f>
        <v>0</v>
      </c>
      <c r="Q161" s="138">
        <v>0</v>
      </c>
      <c r="R161" s="138">
        <f>Q161*H161</f>
        <v>0</v>
      </c>
      <c r="S161" s="138">
        <v>0</v>
      </c>
      <c r="T161" s="139">
        <f>S161*H161</f>
        <v>0</v>
      </c>
      <c r="AR161" s="140" t="s">
        <v>185</v>
      </c>
      <c r="AT161" s="140" t="s">
        <v>180</v>
      </c>
      <c r="AU161" s="140" t="s">
        <v>87</v>
      </c>
      <c r="AY161" s="18" t="s">
        <v>177</v>
      </c>
      <c r="BE161" s="141">
        <f>IF(N161="základní",J161,0)</f>
        <v>0</v>
      </c>
      <c r="BF161" s="141">
        <f>IF(N161="snížená",J161,0)</f>
        <v>0</v>
      </c>
      <c r="BG161" s="141">
        <f>IF(N161="zákl. přenesená",J161,0)</f>
        <v>0</v>
      </c>
      <c r="BH161" s="141">
        <f>IF(N161="sníž. přenesená",J161,0)</f>
        <v>0</v>
      </c>
      <c r="BI161" s="141">
        <f>IF(N161="nulová",J161,0)</f>
        <v>0</v>
      </c>
      <c r="BJ161" s="18" t="s">
        <v>85</v>
      </c>
      <c r="BK161" s="141">
        <f>ROUND(I161*H161,2)</f>
        <v>0</v>
      </c>
      <c r="BL161" s="18" t="s">
        <v>185</v>
      </c>
      <c r="BM161" s="140" t="s">
        <v>882</v>
      </c>
    </row>
    <row r="162" spans="2:47" s="1" customFormat="1" ht="11.25">
      <c r="B162" s="33"/>
      <c r="D162" s="142" t="s">
        <v>187</v>
      </c>
      <c r="F162" s="143" t="s">
        <v>881</v>
      </c>
      <c r="I162" s="144"/>
      <c r="L162" s="33"/>
      <c r="M162" s="145"/>
      <c r="T162" s="54"/>
      <c r="AT162" s="18" t="s">
        <v>187</v>
      </c>
      <c r="AU162" s="18" t="s">
        <v>87</v>
      </c>
    </row>
    <row r="163" spans="2:47" s="1" customFormat="1" ht="11.25">
      <c r="B163" s="33"/>
      <c r="D163" s="146" t="s">
        <v>189</v>
      </c>
      <c r="F163" s="147" t="s">
        <v>883</v>
      </c>
      <c r="I163" s="144"/>
      <c r="L163" s="33"/>
      <c r="M163" s="145"/>
      <c r="T163" s="54"/>
      <c r="AT163" s="18" t="s">
        <v>189</v>
      </c>
      <c r="AU163" s="18" t="s">
        <v>87</v>
      </c>
    </row>
    <row r="164" spans="2:47" s="1" customFormat="1" ht="58.5">
      <c r="B164" s="33"/>
      <c r="D164" s="142" t="s">
        <v>191</v>
      </c>
      <c r="F164" s="148" t="s">
        <v>884</v>
      </c>
      <c r="I164" s="144"/>
      <c r="L164" s="33"/>
      <c r="M164" s="145"/>
      <c r="T164" s="54"/>
      <c r="AT164" s="18" t="s">
        <v>191</v>
      </c>
      <c r="AU164" s="18" t="s">
        <v>87</v>
      </c>
    </row>
    <row r="165" spans="2:65" s="1" customFormat="1" ht="37.9" customHeight="1">
      <c r="B165" s="128"/>
      <c r="C165" s="129" t="s">
        <v>283</v>
      </c>
      <c r="D165" s="129" t="s">
        <v>180</v>
      </c>
      <c r="E165" s="130" t="s">
        <v>513</v>
      </c>
      <c r="F165" s="131" t="s">
        <v>514</v>
      </c>
      <c r="G165" s="132" t="s">
        <v>183</v>
      </c>
      <c r="H165" s="133">
        <v>195.559</v>
      </c>
      <c r="I165" s="134"/>
      <c r="J165" s="135">
        <f>ROUND(I165*H165,2)</f>
        <v>0</v>
      </c>
      <c r="K165" s="131" t="s">
        <v>184</v>
      </c>
      <c r="L165" s="33"/>
      <c r="M165" s="136" t="s">
        <v>3</v>
      </c>
      <c r="N165" s="137" t="s">
        <v>48</v>
      </c>
      <c r="P165" s="138">
        <f>O165*H165</f>
        <v>0</v>
      </c>
      <c r="Q165" s="138">
        <v>0</v>
      </c>
      <c r="R165" s="138">
        <f>Q165*H165</f>
        <v>0</v>
      </c>
      <c r="S165" s="138">
        <v>0</v>
      </c>
      <c r="T165" s="139">
        <f>S165*H165</f>
        <v>0</v>
      </c>
      <c r="AR165" s="140" t="s">
        <v>185</v>
      </c>
      <c r="AT165" s="140" t="s">
        <v>180</v>
      </c>
      <c r="AU165" s="140" t="s">
        <v>87</v>
      </c>
      <c r="AY165" s="18" t="s">
        <v>177</v>
      </c>
      <c r="BE165" s="141">
        <f>IF(N165="základní",J165,0)</f>
        <v>0</v>
      </c>
      <c r="BF165" s="141">
        <f>IF(N165="snížená",J165,0)</f>
        <v>0</v>
      </c>
      <c r="BG165" s="141">
        <f>IF(N165="zákl. přenesená",J165,0)</f>
        <v>0</v>
      </c>
      <c r="BH165" s="141">
        <f>IF(N165="sníž. přenesená",J165,0)</f>
        <v>0</v>
      </c>
      <c r="BI165" s="141">
        <f>IF(N165="nulová",J165,0)</f>
        <v>0</v>
      </c>
      <c r="BJ165" s="18" t="s">
        <v>85</v>
      </c>
      <c r="BK165" s="141">
        <f>ROUND(I165*H165,2)</f>
        <v>0</v>
      </c>
      <c r="BL165" s="18" t="s">
        <v>185</v>
      </c>
      <c r="BM165" s="140" t="s">
        <v>885</v>
      </c>
    </row>
    <row r="166" spans="2:47" s="1" customFormat="1" ht="29.25">
      <c r="B166" s="33"/>
      <c r="D166" s="142" t="s">
        <v>187</v>
      </c>
      <c r="F166" s="143" t="s">
        <v>516</v>
      </c>
      <c r="I166" s="144"/>
      <c r="L166" s="33"/>
      <c r="M166" s="145"/>
      <c r="T166" s="54"/>
      <c r="AT166" s="18" t="s">
        <v>187</v>
      </c>
      <c r="AU166" s="18" t="s">
        <v>87</v>
      </c>
    </row>
    <row r="167" spans="2:47" s="1" customFormat="1" ht="11.25">
      <c r="B167" s="33"/>
      <c r="D167" s="146" t="s">
        <v>189</v>
      </c>
      <c r="F167" s="147" t="s">
        <v>517</v>
      </c>
      <c r="I167" s="144"/>
      <c r="L167" s="33"/>
      <c r="M167" s="145"/>
      <c r="T167" s="54"/>
      <c r="AT167" s="18" t="s">
        <v>189</v>
      </c>
      <c r="AU167" s="18" t="s">
        <v>87</v>
      </c>
    </row>
    <row r="168" spans="2:47" s="1" customFormat="1" ht="58.5">
      <c r="B168" s="33"/>
      <c r="D168" s="142" t="s">
        <v>191</v>
      </c>
      <c r="F168" s="148" t="s">
        <v>228</v>
      </c>
      <c r="I168" s="144"/>
      <c r="L168" s="33"/>
      <c r="M168" s="145"/>
      <c r="T168" s="54"/>
      <c r="AT168" s="18" t="s">
        <v>191</v>
      </c>
      <c r="AU168" s="18" t="s">
        <v>87</v>
      </c>
    </row>
    <row r="169" spans="2:51" s="12" customFormat="1" ht="11.25">
      <c r="B169" s="149"/>
      <c r="D169" s="142" t="s">
        <v>193</v>
      </c>
      <c r="E169" s="150" t="s">
        <v>3</v>
      </c>
      <c r="F169" s="151" t="s">
        <v>886</v>
      </c>
      <c r="H169" s="152">
        <v>195.559</v>
      </c>
      <c r="I169" s="153"/>
      <c r="L169" s="149"/>
      <c r="M169" s="154"/>
      <c r="T169" s="155"/>
      <c r="AT169" s="150" t="s">
        <v>193</v>
      </c>
      <c r="AU169" s="150" t="s">
        <v>87</v>
      </c>
      <c r="AV169" s="12" t="s">
        <v>87</v>
      </c>
      <c r="AW169" s="12" t="s">
        <v>36</v>
      </c>
      <c r="AX169" s="12" t="s">
        <v>85</v>
      </c>
      <c r="AY169" s="150" t="s">
        <v>177</v>
      </c>
    </row>
    <row r="170" spans="2:65" s="1" customFormat="1" ht="44.25" customHeight="1">
      <c r="B170" s="128"/>
      <c r="C170" s="129" t="s">
        <v>9</v>
      </c>
      <c r="D170" s="129" t="s">
        <v>180</v>
      </c>
      <c r="E170" s="130" t="s">
        <v>223</v>
      </c>
      <c r="F170" s="131" t="s">
        <v>224</v>
      </c>
      <c r="G170" s="132" t="s">
        <v>183</v>
      </c>
      <c r="H170" s="133">
        <v>48.89</v>
      </c>
      <c r="I170" s="134"/>
      <c r="J170" s="135">
        <f>ROUND(I170*H170,2)</f>
        <v>0</v>
      </c>
      <c r="K170" s="131" t="s">
        <v>184</v>
      </c>
      <c r="L170" s="33"/>
      <c r="M170" s="136" t="s">
        <v>3</v>
      </c>
      <c r="N170" s="137" t="s">
        <v>48</v>
      </c>
      <c r="P170" s="138">
        <f>O170*H170</f>
        <v>0</v>
      </c>
      <c r="Q170" s="138">
        <v>0</v>
      </c>
      <c r="R170" s="138">
        <f>Q170*H170</f>
        <v>0</v>
      </c>
      <c r="S170" s="138">
        <v>0</v>
      </c>
      <c r="T170" s="139">
        <f>S170*H170</f>
        <v>0</v>
      </c>
      <c r="AR170" s="140" t="s">
        <v>185</v>
      </c>
      <c r="AT170" s="140" t="s">
        <v>180</v>
      </c>
      <c r="AU170" s="140" t="s">
        <v>87</v>
      </c>
      <c r="AY170" s="18" t="s">
        <v>177</v>
      </c>
      <c r="BE170" s="141">
        <f>IF(N170="základní",J170,0)</f>
        <v>0</v>
      </c>
      <c r="BF170" s="141">
        <f>IF(N170="snížená",J170,0)</f>
        <v>0</v>
      </c>
      <c r="BG170" s="141">
        <f>IF(N170="zákl. přenesená",J170,0)</f>
        <v>0</v>
      </c>
      <c r="BH170" s="141">
        <f>IF(N170="sníž. přenesená",J170,0)</f>
        <v>0</v>
      </c>
      <c r="BI170" s="141">
        <f>IF(N170="nulová",J170,0)</f>
        <v>0</v>
      </c>
      <c r="BJ170" s="18" t="s">
        <v>85</v>
      </c>
      <c r="BK170" s="141">
        <f>ROUND(I170*H170,2)</f>
        <v>0</v>
      </c>
      <c r="BL170" s="18" t="s">
        <v>185</v>
      </c>
      <c r="BM170" s="140" t="s">
        <v>887</v>
      </c>
    </row>
    <row r="171" spans="2:47" s="1" customFormat="1" ht="29.25">
      <c r="B171" s="33"/>
      <c r="D171" s="142" t="s">
        <v>187</v>
      </c>
      <c r="F171" s="143" t="s">
        <v>226</v>
      </c>
      <c r="I171" s="144"/>
      <c r="L171" s="33"/>
      <c r="M171" s="145"/>
      <c r="T171" s="54"/>
      <c r="AT171" s="18" t="s">
        <v>187</v>
      </c>
      <c r="AU171" s="18" t="s">
        <v>87</v>
      </c>
    </row>
    <row r="172" spans="2:47" s="1" customFormat="1" ht="11.25">
      <c r="B172" s="33"/>
      <c r="D172" s="146" t="s">
        <v>189</v>
      </c>
      <c r="F172" s="147" t="s">
        <v>227</v>
      </c>
      <c r="I172" s="144"/>
      <c r="L172" s="33"/>
      <c r="M172" s="145"/>
      <c r="T172" s="54"/>
      <c r="AT172" s="18" t="s">
        <v>189</v>
      </c>
      <c r="AU172" s="18" t="s">
        <v>87</v>
      </c>
    </row>
    <row r="173" spans="2:47" s="1" customFormat="1" ht="58.5">
      <c r="B173" s="33"/>
      <c r="D173" s="142" t="s">
        <v>191</v>
      </c>
      <c r="F173" s="148" t="s">
        <v>228</v>
      </c>
      <c r="I173" s="144"/>
      <c r="L173" s="33"/>
      <c r="M173" s="145"/>
      <c r="T173" s="54"/>
      <c r="AT173" s="18" t="s">
        <v>191</v>
      </c>
      <c r="AU173" s="18" t="s">
        <v>87</v>
      </c>
    </row>
    <row r="174" spans="2:51" s="12" customFormat="1" ht="11.25">
      <c r="B174" s="149"/>
      <c r="D174" s="142" t="s">
        <v>193</v>
      </c>
      <c r="E174" s="150" t="s">
        <v>3</v>
      </c>
      <c r="F174" s="151" t="s">
        <v>888</v>
      </c>
      <c r="H174" s="152">
        <v>48.89</v>
      </c>
      <c r="I174" s="153"/>
      <c r="L174" s="149"/>
      <c r="M174" s="154"/>
      <c r="T174" s="155"/>
      <c r="AT174" s="150" t="s">
        <v>193</v>
      </c>
      <c r="AU174" s="150" t="s">
        <v>87</v>
      </c>
      <c r="AV174" s="12" t="s">
        <v>87</v>
      </c>
      <c r="AW174" s="12" t="s">
        <v>36</v>
      </c>
      <c r="AX174" s="12" t="s">
        <v>85</v>
      </c>
      <c r="AY174" s="150" t="s">
        <v>177</v>
      </c>
    </row>
    <row r="175" spans="2:65" s="1" customFormat="1" ht="24.2" customHeight="1">
      <c r="B175" s="128"/>
      <c r="C175" s="129" t="s">
        <v>237</v>
      </c>
      <c r="D175" s="129" t="s">
        <v>180</v>
      </c>
      <c r="E175" s="130" t="s">
        <v>889</v>
      </c>
      <c r="F175" s="131" t="s">
        <v>890</v>
      </c>
      <c r="G175" s="132" t="s">
        <v>243</v>
      </c>
      <c r="H175" s="133">
        <v>1</v>
      </c>
      <c r="I175" s="134"/>
      <c r="J175" s="135">
        <f>ROUND(I175*H175,2)</f>
        <v>0</v>
      </c>
      <c r="K175" s="131" t="s">
        <v>244</v>
      </c>
      <c r="L175" s="33"/>
      <c r="M175" s="136" t="s">
        <v>3</v>
      </c>
      <c r="N175" s="137" t="s">
        <v>48</v>
      </c>
      <c r="P175" s="138">
        <f>O175*H175</f>
        <v>0</v>
      </c>
      <c r="Q175" s="138">
        <v>0</v>
      </c>
      <c r="R175" s="138">
        <f>Q175*H175</f>
        <v>0</v>
      </c>
      <c r="S175" s="138">
        <v>0</v>
      </c>
      <c r="T175" s="139">
        <f>S175*H175</f>
        <v>0</v>
      </c>
      <c r="AR175" s="140" t="s">
        <v>185</v>
      </c>
      <c r="AT175" s="140" t="s">
        <v>180</v>
      </c>
      <c r="AU175" s="140" t="s">
        <v>87</v>
      </c>
      <c r="AY175" s="18" t="s">
        <v>177</v>
      </c>
      <c r="BE175" s="141">
        <f>IF(N175="základní",J175,0)</f>
        <v>0</v>
      </c>
      <c r="BF175" s="141">
        <f>IF(N175="snížená",J175,0)</f>
        <v>0</v>
      </c>
      <c r="BG175" s="141">
        <f>IF(N175="zákl. přenesená",J175,0)</f>
        <v>0</v>
      </c>
      <c r="BH175" s="141">
        <f>IF(N175="sníž. přenesená",J175,0)</f>
        <v>0</v>
      </c>
      <c r="BI175" s="141">
        <f>IF(N175="nulová",J175,0)</f>
        <v>0</v>
      </c>
      <c r="BJ175" s="18" t="s">
        <v>85</v>
      </c>
      <c r="BK175" s="141">
        <f>ROUND(I175*H175,2)</f>
        <v>0</v>
      </c>
      <c r="BL175" s="18" t="s">
        <v>185</v>
      </c>
      <c r="BM175" s="140" t="s">
        <v>891</v>
      </c>
    </row>
    <row r="176" spans="2:47" s="1" customFormat="1" ht="11.25">
      <c r="B176" s="33"/>
      <c r="D176" s="142" t="s">
        <v>187</v>
      </c>
      <c r="F176" s="143" t="s">
        <v>890</v>
      </c>
      <c r="I176" s="144"/>
      <c r="L176" s="33"/>
      <c r="M176" s="145"/>
      <c r="T176" s="54"/>
      <c r="AT176" s="18" t="s">
        <v>187</v>
      </c>
      <c r="AU176" s="18" t="s">
        <v>87</v>
      </c>
    </row>
    <row r="177" spans="2:63" s="11" customFormat="1" ht="22.9" customHeight="1">
      <c r="B177" s="116"/>
      <c r="D177" s="117" t="s">
        <v>76</v>
      </c>
      <c r="E177" s="126" t="s">
        <v>518</v>
      </c>
      <c r="F177" s="126" t="s">
        <v>519</v>
      </c>
      <c r="I177" s="119"/>
      <c r="J177" s="127">
        <f>BK177</f>
        <v>0</v>
      </c>
      <c r="L177" s="116"/>
      <c r="M177" s="121"/>
      <c r="P177" s="122">
        <f>SUM(P178:P181)</f>
        <v>0</v>
      </c>
      <c r="R177" s="122">
        <f>SUM(R178:R181)</f>
        <v>0</v>
      </c>
      <c r="T177" s="123">
        <f>SUM(T178:T181)</f>
        <v>0</v>
      </c>
      <c r="AR177" s="117" t="s">
        <v>85</v>
      </c>
      <c r="AT177" s="124" t="s">
        <v>76</v>
      </c>
      <c r="AU177" s="124" t="s">
        <v>85</v>
      </c>
      <c r="AY177" s="117" t="s">
        <v>177</v>
      </c>
      <c r="BK177" s="125">
        <f>SUM(BK178:BK181)</f>
        <v>0</v>
      </c>
    </row>
    <row r="178" spans="2:65" s="1" customFormat="1" ht="21.75" customHeight="1">
      <c r="B178" s="128"/>
      <c r="C178" s="129" t="s">
        <v>302</v>
      </c>
      <c r="D178" s="129" t="s">
        <v>180</v>
      </c>
      <c r="E178" s="130" t="s">
        <v>521</v>
      </c>
      <c r="F178" s="131" t="s">
        <v>522</v>
      </c>
      <c r="G178" s="132" t="s">
        <v>183</v>
      </c>
      <c r="H178" s="133">
        <v>1.362</v>
      </c>
      <c r="I178" s="134"/>
      <c r="J178" s="135">
        <f>ROUND(I178*H178,2)</f>
        <v>0</v>
      </c>
      <c r="K178" s="131" t="s">
        <v>184</v>
      </c>
      <c r="L178" s="33"/>
      <c r="M178" s="136" t="s">
        <v>3</v>
      </c>
      <c r="N178" s="137" t="s">
        <v>48</v>
      </c>
      <c r="P178" s="138">
        <f>O178*H178</f>
        <v>0</v>
      </c>
      <c r="Q178" s="138">
        <v>0</v>
      </c>
      <c r="R178" s="138">
        <f>Q178*H178</f>
        <v>0</v>
      </c>
      <c r="S178" s="138">
        <v>0</v>
      </c>
      <c r="T178" s="139">
        <f>S178*H178</f>
        <v>0</v>
      </c>
      <c r="AR178" s="140" t="s">
        <v>185</v>
      </c>
      <c r="AT178" s="140" t="s">
        <v>180</v>
      </c>
      <c r="AU178" s="140" t="s">
        <v>87</v>
      </c>
      <c r="AY178" s="18" t="s">
        <v>177</v>
      </c>
      <c r="BE178" s="141">
        <f>IF(N178="základní",J178,0)</f>
        <v>0</v>
      </c>
      <c r="BF178" s="141">
        <f>IF(N178="snížená",J178,0)</f>
        <v>0</v>
      </c>
      <c r="BG178" s="141">
        <f>IF(N178="zákl. přenesená",J178,0)</f>
        <v>0</v>
      </c>
      <c r="BH178" s="141">
        <f>IF(N178="sníž. přenesená",J178,0)</f>
        <v>0</v>
      </c>
      <c r="BI178" s="141">
        <f>IF(N178="nulová",J178,0)</f>
        <v>0</v>
      </c>
      <c r="BJ178" s="18" t="s">
        <v>85</v>
      </c>
      <c r="BK178" s="141">
        <f>ROUND(I178*H178,2)</f>
        <v>0</v>
      </c>
      <c r="BL178" s="18" t="s">
        <v>185</v>
      </c>
      <c r="BM178" s="140" t="s">
        <v>892</v>
      </c>
    </row>
    <row r="179" spans="2:47" s="1" customFormat="1" ht="39">
      <c r="B179" s="33"/>
      <c r="D179" s="142" t="s">
        <v>187</v>
      </c>
      <c r="F179" s="143" t="s">
        <v>524</v>
      </c>
      <c r="I179" s="144"/>
      <c r="L179" s="33"/>
      <c r="M179" s="145"/>
      <c r="T179" s="54"/>
      <c r="AT179" s="18" t="s">
        <v>187</v>
      </c>
      <c r="AU179" s="18" t="s">
        <v>87</v>
      </c>
    </row>
    <row r="180" spans="2:47" s="1" customFormat="1" ht="11.25">
      <c r="B180" s="33"/>
      <c r="D180" s="146" t="s">
        <v>189</v>
      </c>
      <c r="F180" s="147" t="s">
        <v>525</v>
      </c>
      <c r="I180" s="144"/>
      <c r="L180" s="33"/>
      <c r="M180" s="145"/>
      <c r="T180" s="54"/>
      <c r="AT180" s="18" t="s">
        <v>189</v>
      </c>
      <c r="AU180" s="18" t="s">
        <v>87</v>
      </c>
    </row>
    <row r="181" spans="2:47" s="1" customFormat="1" ht="87.75">
      <c r="B181" s="33"/>
      <c r="D181" s="142" t="s">
        <v>191</v>
      </c>
      <c r="F181" s="148" t="s">
        <v>526</v>
      </c>
      <c r="I181" s="144"/>
      <c r="L181" s="33"/>
      <c r="M181" s="145"/>
      <c r="T181" s="54"/>
      <c r="AT181" s="18" t="s">
        <v>191</v>
      </c>
      <c r="AU181" s="18" t="s">
        <v>87</v>
      </c>
    </row>
    <row r="182" spans="2:63" s="11" customFormat="1" ht="25.9" customHeight="1">
      <c r="B182" s="116"/>
      <c r="D182" s="117" t="s">
        <v>76</v>
      </c>
      <c r="E182" s="118" t="s">
        <v>533</v>
      </c>
      <c r="F182" s="118" t="s">
        <v>534</v>
      </c>
      <c r="I182" s="119"/>
      <c r="J182" s="120">
        <f>BK182</f>
        <v>0</v>
      </c>
      <c r="L182" s="116"/>
      <c r="M182" s="121"/>
      <c r="P182" s="122">
        <f>P183+P189+P199</f>
        <v>0</v>
      </c>
      <c r="R182" s="122">
        <f>R183+R189+R199</f>
        <v>0</v>
      </c>
      <c r="T182" s="123">
        <f>T183+T189+T199</f>
        <v>0</v>
      </c>
      <c r="AR182" s="117" t="s">
        <v>200</v>
      </c>
      <c r="AT182" s="124" t="s">
        <v>76</v>
      </c>
      <c r="AU182" s="124" t="s">
        <v>77</v>
      </c>
      <c r="AY182" s="117" t="s">
        <v>177</v>
      </c>
      <c r="BK182" s="125">
        <f>BK183+BK189+BK199</f>
        <v>0</v>
      </c>
    </row>
    <row r="183" spans="2:63" s="11" customFormat="1" ht="22.9" customHeight="1">
      <c r="B183" s="116"/>
      <c r="D183" s="117" t="s">
        <v>76</v>
      </c>
      <c r="E183" s="126" t="s">
        <v>535</v>
      </c>
      <c r="F183" s="126" t="s">
        <v>536</v>
      </c>
      <c r="I183" s="119"/>
      <c r="J183" s="127">
        <f>BK183</f>
        <v>0</v>
      </c>
      <c r="L183" s="116"/>
      <c r="M183" s="121"/>
      <c r="P183" s="122">
        <f>SUM(P184:P188)</f>
        <v>0</v>
      </c>
      <c r="R183" s="122">
        <f>SUM(R184:R188)</f>
        <v>0</v>
      </c>
      <c r="T183" s="123">
        <f>SUM(T184:T188)</f>
        <v>0</v>
      </c>
      <c r="AR183" s="117" t="s">
        <v>200</v>
      </c>
      <c r="AT183" s="124" t="s">
        <v>76</v>
      </c>
      <c r="AU183" s="124" t="s">
        <v>85</v>
      </c>
      <c r="AY183" s="117" t="s">
        <v>177</v>
      </c>
      <c r="BK183" s="125">
        <f>SUM(BK184:BK188)</f>
        <v>0</v>
      </c>
    </row>
    <row r="184" spans="2:65" s="1" customFormat="1" ht="16.5" customHeight="1">
      <c r="B184" s="128"/>
      <c r="C184" s="129" t="s">
        <v>315</v>
      </c>
      <c r="D184" s="129" t="s">
        <v>180</v>
      </c>
      <c r="E184" s="130" t="s">
        <v>893</v>
      </c>
      <c r="F184" s="131" t="s">
        <v>894</v>
      </c>
      <c r="G184" s="132" t="s">
        <v>243</v>
      </c>
      <c r="H184" s="133">
        <v>1</v>
      </c>
      <c r="I184" s="134"/>
      <c r="J184" s="135">
        <f>ROUND(I184*H184,2)</f>
        <v>0</v>
      </c>
      <c r="K184" s="131" t="s">
        <v>184</v>
      </c>
      <c r="L184" s="33"/>
      <c r="M184" s="136" t="s">
        <v>3</v>
      </c>
      <c r="N184" s="137" t="s">
        <v>48</v>
      </c>
      <c r="P184" s="138">
        <f>O184*H184</f>
        <v>0</v>
      </c>
      <c r="Q184" s="138">
        <v>0</v>
      </c>
      <c r="R184" s="138">
        <f>Q184*H184</f>
        <v>0</v>
      </c>
      <c r="S184" s="138">
        <v>0</v>
      </c>
      <c r="T184" s="139">
        <f>S184*H184</f>
        <v>0</v>
      </c>
      <c r="AR184" s="140" t="s">
        <v>540</v>
      </c>
      <c r="AT184" s="140" t="s">
        <v>180</v>
      </c>
      <c r="AU184" s="140" t="s">
        <v>87</v>
      </c>
      <c r="AY184" s="18" t="s">
        <v>177</v>
      </c>
      <c r="BE184" s="141">
        <f>IF(N184="základní",J184,0)</f>
        <v>0</v>
      </c>
      <c r="BF184" s="141">
        <f>IF(N184="snížená",J184,0)</f>
        <v>0</v>
      </c>
      <c r="BG184" s="141">
        <f>IF(N184="zákl. přenesená",J184,0)</f>
        <v>0</v>
      </c>
      <c r="BH184" s="141">
        <f>IF(N184="sníž. přenesená",J184,0)</f>
        <v>0</v>
      </c>
      <c r="BI184" s="141">
        <f>IF(N184="nulová",J184,0)</f>
        <v>0</v>
      </c>
      <c r="BJ184" s="18" t="s">
        <v>85</v>
      </c>
      <c r="BK184" s="141">
        <f>ROUND(I184*H184,2)</f>
        <v>0</v>
      </c>
      <c r="BL184" s="18" t="s">
        <v>540</v>
      </c>
      <c r="BM184" s="140" t="s">
        <v>895</v>
      </c>
    </row>
    <row r="185" spans="2:47" s="1" customFormat="1" ht="11.25">
      <c r="B185" s="33"/>
      <c r="D185" s="142" t="s">
        <v>187</v>
      </c>
      <c r="F185" s="143" t="s">
        <v>894</v>
      </c>
      <c r="I185" s="144"/>
      <c r="L185" s="33"/>
      <c r="M185" s="145"/>
      <c r="T185" s="54"/>
      <c r="AT185" s="18" t="s">
        <v>187</v>
      </c>
      <c r="AU185" s="18" t="s">
        <v>87</v>
      </c>
    </row>
    <row r="186" spans="2:47" s="1" customFormat="1" ht="11.25">
      <c r="B186" s="33"/>
      <c r="D186" s="146" t="s">
        <v>189</v>
      </c>
      <c r="F186" s="147" t="s">
        <v>896</v>
      </c>
      <c r="I186" s="144"/>
      <c r="L186" s="33"/>
      <c r="M186" s="145"/>
      <c r="T186" s="54"/>
      <c r="AT186" s="18" t="s">
        <v>189</v>
      </c>
      <c r="AU186" s="18" t="s">
        <v>87</v>
      </c>
    </row>
    <row r="187" spans="2:51" s="13" customFormat="1" ht="22.5">
      <c r="B187" s="156"/>
      <c r="D187" s="142" t="s">
        <v>193</v>
      </c>
      <c r="E187" s="157" t="s">
        <v>3</v>
      </c>
      <c r="F187" s="158" t="s">
        <v>897</v>
      </c>
      <c r="H187" s="157" t="s">
        <v>3</v>
      </c>
      <c r="I187" s="159"/>
      <c r="L187" s="156"/>
      <c r="M187" s="160"/>
      <c r="T187" s="161"/>
      <c r="AT187" s="157" t="s">
        <v>193</v>
      </c>
      <c r="AU187" s="157" t="s">
        <v>87</v>
      </c>
      <c r="AV187" s="13" t="s">
        <v>85</v>
      </c>
      <c r="AW187" s="13" t="s">
        <v>36</v>
      </c>
      <c r="AX187" s="13" t="s">
        <v>77</v>
      </c>
      <c r="AY187" s="157" t="s">
        <v>177</v>
      </c>
    </row>
    <row r="188" spans="2:51" s="12" customFormat="1" ht="11.25">
      <c r="B188" s="149"/>
      <c r="D188" s="142" t="s">
        <v>193</v>
      </c>
      <c r="E188" s="150" t="s">
        <v>3</v>
      </c>
      <c r="F188" s="151" t="s">
        <v>85</v>
      </c>
      <c r="H188" s="152">
        <v>1</v>
      </c>
      <c r="I188" s="153"/>
      <c r="L188" s="149"/>
      <c r="M188" s="154"/>
      <c r="T188" s="155"/>
      <c r="AT188" s="150" t="s">
        <v>193</v>
      </c>
      <c r="AU188" s="150" t="s">
        <v>87</v>
      </c>
      <c r="AV188" s="12" t="s">
        <v>87</v>
      </c>
      <c r="AW188" s="12" t="s">
        <v>36</v>
      </c>
      <c r="AX188" s="12" t="s">
        <v>85</v>
      </c>
      <c r="AY188" s="150" t="s">
        <v>177</v>
      </c>
    </row>
    <row r="189" spans="2:63" s="11" customFormat="1" ht="22.9" customHeight="1">
      <c r="B189" s="116"/>
      <c r="D189" s="117" t="s">
        <v>76</v>
      </c>
      <c r="E189" s="126" t="s">
        <v>898</v>
      </c>
      <c r="F189" s="126" t="s">
        <v>899</v>
      </c>
      <c r="I189" s="119"/>
      <c r="J189" s="127">
        <f>BK189</f>
        <v>0</v>
      </c>
      <c r="L189" s="116"/>
      <c r="M189" s="121"/>
      <c r="P189" s="122">
        <f>SUM(P190:P198)</f>
        <v>0</v>
      </c>
      <c r="R189" s="122">
        <f>SUM(R190:R198)</f>
        <v>0</v>
      </c>
      <c r="T189" s="123">
        <f>SUM(T190:T198)</f>
        <v>0</v>
      </c>
      <c r="AR189" s="117" t="s">
        <v>200</v>
      </c>
      <c r="AT189" s="124" t="s">
        <v>76</v>
      </c>
      <c r="AU189" s="124" t="s">
        <v>85</v>
      </c>
      <c r="AY189" s="117" t="s">
        <v>177</v>
      </c>
      <c r="BK189" s="125">
        <f>SUM(BK190:BK198)</f>
        <v>0</v>
      </c>
    </row>
    <row r="190" spans="2:65" s="1" customFormat="1" ht="16.5" customHeight="1">
      <c r="B190" s="128"/>
      <c r="C190" s="129" t="s">
        <v>461</v>
      </c>
      <c r="D190" s="129" t="s">
        <v>180</v>
      </c>
      <c r="E190" s="130" t="s">
        <v>900</v>
      </c>
      <c r="F190" s="131" t="s">
        <v>901</v>
      </c>
      <c r="G190" s="132" t="s">
        <v>476</v>
      </c>
      <c r="H190" s="133">
        <v>150</v>
      </c>
      <c r="I190" s="134"/>
      <c r="J190" s="135">
        <f>ROUND(I190*H190,2)</f>
        <v>0</v>
      </c>
      <c r="K190" s="131" t="s">
        <v>184</v>
      </c>
      <c r="L190" s="33"/>
      <c r="M190" s="136" t="s">
        <v>3</v>
      </c>
      <c r="N190" s="137" t="s">
        <v>48</v>
      </c>
      <c r="P190" s="138">
        <f>O190*H190</f>
        <v>0</v>
      </c>
      <c r="Q190" s="138">
        <v>0</v>
      </c>
      <c r="R190" s="138">
        <f>Q190*H190</f>
        <v>0</v>
      </c>
      <c r="S190" s="138">
        <v>0</v>
      </c>
      <c r="T190" s="139">
        <f>S190*H190</f>
        <v>0</v>
      </c>
      <c r="AR190" s="140" t="s">
        <v>540</v>
      </c>
      <c r="AT190" s="140" t="s">
        <v>180</v>
      </c>
      <c r="AU190" s="140" t="s">
        <v>87</v>
      </c>
      <c r="AY190" s="18" t="s">
        <v>177</v>
      </c>
      <c r="BE190" s="141">
        <f>IF(N190="základní",J190,0)</f>
        <v>0</v>
      </c>
      <c r="BF190" s="141">
        <f>IF(N190="snížená",J190,0)</f>
        <v>0</v>
      </c>
      <c r="BG190" s="141">
        <f>IF(N190="zákl. přenesená",J190,0)</f>
        <v>0</v>
      </c>
      <c r="BH190" s="141">
        <f>IF(N190="sníž. přenesená",J190,0)</f>
        <v>0</v>
      </c>
      <c r="BI190" s="141">
        <f>IF(N190="nulová",J190,0)</f>
        <v>0</v>
      </c>
      <c r="BJ190" s="18" t="s">
        <v>85</v>
      </c>
      <c r="BK190" s="141">
        <f>ROUND(I190*H190,2)</f>
        <v>0</v>
      </c>
      <c r="BL190" s="18" t="s">
        <v>540</v>
      </c>
      <c r="BM190" s="140" t="s">
        <v>902</v>
      </c>
    </row>
    <row r="191" spans="2:47" s="1" customFormat="1" ht="11.25">
      <c r="B191" s="33"/>
      <c r="D191" s="142" t="s">
        <v>187</v>
      </c>
      <c r="F191" s="143" t="s">
        <v>901</v>
      </c>
      <c r="I191" s="144"/>
      <c r="L191" s="33"/>
      <c r="M191" s="145"/>
      <c r="T191" s="54"/>
      <c r="AT191" s="18" t="s">
        <v>187</v>
      </c>
      <c r="AU191" s="18" t="s">
        <v>87</v>
      </c>
    </row>
    <row r="192" spans="2:47" s="1" customFormat="1" ht="11.25">
      <c r="B192" s="33"/>
      <c r="D192" s="146" t="s">
        <v>189</v>
      </c>
      <c r="F192" s="147" t="s">
        <v>903</v>
      </c>
      <c r="I192" s="144"/>
      <c r="L192" s="33"/>
      <c r="M192" s="145"/>
      <c r="T192" s="54"/>
      <c r="AT192" s="18" t="s">
        <v>189</v>
      </c>
      <c r="AU192" s="18" t="s">
        <v>87</v>
      </c>
    </row>
    <row r="193" spans="2:65" s="1" customFormat="1" ht="16.5" customHeight="1">
      <c r="B193" s="128"/>
      <c r="C193" s="129" t="s">
        <v>467</v>
      </c>
      <c r="D193" s="129" t="s">
        <v>180</v>
      </c>
      <c r="E193" s="130" t="s">
        <v>904</v>
      </c>
      <c r="F193" s="131" t="s">
        <v>905</v>
      </c>
      <c r="G193" s="132" t="s">
        <v>243</v>
      </c>
      <c r="H193" s="133">
        <v>1</v>
      </c>
      <c r="I193" s="134"/>
      <c r="J193" s="135">
        <f>ROUND(I193*H193,2)</f>
        <v>0</v>
      </c>
      <c r="K193" s="131" t="s">
        <v>184</v>
      </c>
      <c r="L193" s="33"/>
      <c r="M193" s="136" t="s">
        <v>3</v>
      </c>
      <c r="N193" s="137" t="s">
        <v>48</v>
      </c>
      <c r="P193" s="138">
        <f>O193*H193</f>
        <v>0</v>
      </c>
      <c r="Q193" s="138">
        <v>0</v>
      </c>
      <c r="R193" s="138">
        <f>Q193*H193</f>
        <v>0</v>
      </c>
      <c r="S193" s="138">
        <v>0</v>
      </c>
      <c r="T193" s="139">
        <f>S193*H193</f>
        <v>0</v>
      </c>
      <c r="AR193" s="140" t="s">
        <v>540</v>
      </c>
      <c r="AT193" s="140" t="s">
        <v>180</v>
      </c>
      <c r="AU193" s="140" t="s">
        <v>87</v>
      </c>
      <c r="AY193" s="18" t="s">
        <v>177</v>
      </c>
      <c r="BE193" s="141">
        <f>IF(N193="základní",J193,0)</f>
        <v>0</v>
      </c>
      <c r="BF193" s="141">
        <f>IF(N193="snížená",J193,0)</f>
        <v>0</v>
      </c>
      <c r="BG193" s="141">
        <f>IF(N193="zákl. přenesená",J193,0)</f>
        <v>0</v>
      </c>
      <c r="BH193" s="141">
        <f>IF(N193="sníž. přenesená",J193,0)</f>
        <v>0</v>
      </c>
      <c r="BI193" s="141">
        <f>IF(N193="nulová",J193,0)</f>
        <v>0</v>
      </c>
      <c r="BJ193" s="18" t="s">
        <v>85</v>
      </c>
      <c r="BK193" s="141">
        <f>ROUND(I193*H193,2)</f>
        <v>0</v>
      </c>
      <c r="BL193" s="18" t="s">
        <v>540</v>
      </c>
      <c r="BM193" s="140" t="s">
        <v>906</v>
      </c>
    </row>
    <row r="194" spans="2:47" s="1" customFormat="1" ht="11.25">
      <c r="B194" s="33"/>
      <c r="D194" s="142" t="s">
        <v>187</v>
      </c>
      <c r="F194" s="143" t="s">
        <v>905</v>
      </c>
      <c r="I194" s="144"/>
      <c r="L194" s="33"/>
      <c r="M194" s="145"/>
      <c r="T194" s="54"/>
      <c r="AT194" s="18" t="s">
        <v>187</v>
      </c>
      <c r="AU194" s="18" t="s">
        <v>87</v>
      </c>
    </row>
    <row r="195" spans="2:47" s="1" customFormat="1" ht="11.25">
      <c r="B195" s="33"/>
      <c r="D195" s="146" t="s">
        <v>189</v>
      </c>
      <c r="F195" s="147" t="s">
        <v>907</v>
      </c>
      <c r="I195" s="144"/>
      <c r="L195" s="33"/>
      <c r="M195" s="145"/>
      <c r="T195" s="54"/>
      <c r="AT195" s="18" t="s">
        <v>189</v>
      </c>
      <c r="AU195" s="18" t="s">
        <v>87</v>
      </c>
    </row>
    <row r="196" spans="2:51" s="13" customFormat="1" ht="11.25">
      <c r="B196" s="156"/>
      <c r="D196" s="142" t="s">
        <v>193</v>
      </c>
      <c r="E196" s="157" t="s">
        <v>3</v>
      </c>
      <c r="F196" s="158" t="s">
        <v>908</v>
      </c>
      <c r="H196" s="157" t="s">
        <v>3</v>
      </c>
      <c r="I196" s="159"/>
      <c r="L196" s="156"/>
      <c r="M196" s="160"/>
      <c r="T196" s="161"/>
      <c r="AT196" s="157" t="s">
        <v>193</v>
      </c>
      <c r="AU196" s="157" t="s">
        <v>87</v>
      </c>
      <c r="AV196" s="13" t="s">
        <v>85</v>
      </c>
      <c r="AW196" s="13" t="s">
        <v>36</v>
      </c>
      <c r="AX196" s="13" t="s">
        <v>77</v>
      </c>
      <c r="AY196" s="157" t="s">
        <v>177</v>
      </c>
    </row>
    <row r="197" spans="2:51" s="13" customFormat="1" ht="22.5">
      <c r="B197" s="156"/>
      <c r="D197" s="142" t="s">
        <v>193</v>
      </c>
      <c r="E197" s="157" t="s">
        <v>3</v>
      </c>
      <c r="F197" s="158" t="s">
        <v>909</v>
      </c>
      <c r="H197" s="157" t="s">
        <v>3</v>
      </c>
      <c r="I197" s="159"/>
      <c r="L197" s="156"/>
      <c r="M197" s="160"/>
      <c r="T197" s="161"/>
      <c r="AT197" s="157" t="s">
        <v>193</v>
      </c>
      <c r="AU197" s="157" t="s">
        <v>87</v>
      </c>
      <c r="AV197" s="13" t="s">
        <v>85</v>
      </c>
      <c r="AW197" s="13" t="s">
        <v>36</v>
      </c>
      <c r="AX197" s="13" t="s">
        <v>77</v>
      </c>
      <c r="AY197" s="157" t="s">
        <v>177</v>
      </c>
    </row>
    <row r="198" spans="2:51" s="12" customFormat="1" ht="11.25">
      <c r="B198" s="149"/>
      <c r="D198" s="142" t="s">
        <v>193</v>
      </c>
      <c r="E198" s="150" t="s">
        <v>3</v>
      </c>
      <c r="F198" s="151" t="s">
        <v>85</v>
      </c>
      <c r="H198" s="152">
        <v>1</v>
      </c>
      <c r="I198" s="153"/>
      <c r="L198" s="149"/>
      <c r="M198" s="154"/>
      <c r="T198" s="155"/>
      <c r="AT198" s="150" t="s">
        <v>193</v>
      </c>
      <c r="AU198" s="150" t="s">
        <v>87</v>
      </c>
      <c r="AV198" s="12" t="s">
        <v>87</v>
      </c>
      <c r="AW198" s="12" t="s">
        <v>36</v>
      </c>
      <c r="AX198" s="12" t="s">
        <v>85</v>
      </c>
      <c r="AY198" s="150" t="s">
        <v>177</v>
      </c>
    </row>
    <row r="199" spans="2:63" s="11" customFormat="1" ht="22.9" customHeight="1">
      <c r="B199" s="116"/>
      <c r="D199" s="117" t="s">
        <v>76</v>
      </c>
      <c r="E199" s="126" t="s">
        <v>910</v>
      </c>
      <c r="F199" s="126" t="s">
        <v>911</v>
      </c>
      <c r="I199" s="119"/>
      <c r="J199" s="127">
        <f>BK199</f>
        <v>0</v>
      </c>
      <c r="L199" s="116"/>
      <c r="M199" s="121"/>
      <c r="P199" s="122">
        <f>SUM(P200:P205)</f>
        <v>0</v>
      </c>
      <c r="R199" s="122">
        <f>SUM(R200:R205)</f>
        <v>0</v>
      </c>
      <c r="T199" s="123">
        <f>SUM(T200:T205)</f>
        <v>0</v>
      </c>
      <c r="AR199" s="117" t="s">
        <v>200</v>
      </c>
      <c r="AT199" s="124" t="s">
        <v>76</v>
      </c>
      <c r="AU199" s="124" t="s">
        <v>85</v>
      </c>
      <c r="AY199" s="117" t="s">
        <v>177</v>
      </c>
      <c r="BK199" s="125">
        <f>SUM(BK200:BK205)</f>
        <v>0</v>
      </c>
    </row>
    <row r="200" spans="2:65" s="1" customFormat="1" ht="21.75" customHeight="1">
      <c r="B200" s="128"/>
      <c r="C200" s="129" t="s">
        <v>8</v>
      </c>
      <c r="D200" s="129" t="s">
        <v>180</v>
      </c>
      <c r="E200" s="130" t="s">
        <v>912</v>
      </c>
      <c r="F200" s="131" t="s">
        <v>913</v>
      </c>
      <c r="G200" s="132" t="s">
        <v>243</v>
      </c>
      <c r="H200" s="133">
        <v>1</v>
      </c>
      <c r="I200" s="134"/>
      <c r="J200" s="135">
        <f>ROUND(I200*H200,2)</f>
        <v>0</v>
      </c>
      <c r="K200" s="131" t="s">
        <v>184</v>
      </c>
      <c r="L200" s="33"/>
      <c r="M200" s="136" t="s">
        <v>3</v>
      </c>
      <c r="N200" s="137" t="s">
        <v>48</v>
      </c>
      <c r="P200" s="138">
        <f>O200*H200</f>
        <v>0</v>
      </c>
      <c r="Q200" s="138">
        <v>0</v>
      </c>
      <c r="R200" s="138">
        <f>Q200*H200</f>
        <v>0</v>
      </c>
      <c r="S200" s="138">
        <v>0</v>
      </c>
      <c r="T200" s="139">
        <f>S200*H200</f>
        <v>0</v>
      </c>
      <c r="AR200" s="140" t="s">
        <v>540</v>
      </c>
      <c r="AT200" s="140" t="s">
        <v>180</v>
      </c>
      <c r="AU200" s="140" t="s">
        <v>87</v>
      </c>
      <c r="AY200" s="18" t="s">
        <v>177</v>
      </c>
      <c r="BE200" s="141">
        <f>IF(N200="základní",J200,0)</f>
        <v>0</v>
      </c>
      <c r="BF200" s="141">
        <f>IF(N200="snížená",J200,0)</f>
        <v>0</v>
      </c>
      <c r="BG200" s="141">
        <f>IF(N200="zákl. přenesená",J200,0)</f>
        <v>0</v>
      </c>
      <c r="BH200" s="141">
        <f>IF(N200="sníž. přenesená",J200,0)</f>
        <v>0</v>
      </c>
      <c r="BI200" s="141">
        <f>IF(N200="nulová",J200,0)</f>
        <v>0</v>
      </c>
      <c r="BJ200" s="18" t="s">
        <v>85</v>
      </c>
      <c r="BK200" s="141">
        <f>ROUND(I200*H200,2)</f>
        <v>0</v>
      </c>
      <c r="BL200" s="18" t="s">
        <v>540</v>
      </c>
      <c r="BM200" s="140" t="s">
        <v>914</v>
      </c>
    </row>
    <row r="201" spans="2:47" s="1" customFormat="1" ht="11.25">
      <c r="B201" s="33"/>
      <c r="D201" s="142" t="s">
        <v>187</v>
      </c>
      <c r="F201" s="143" t="s">
        <v>913</v>
      </c>
      <c r="I201" s="144"/>
      <c r="L201" s="33"/>
      <c r="M201" s="145"/>
      <c r="T201" s="54"/>
      <c r="AT201" s="18" t="s">
        <v>187</v>
      </c>
      <c r="AU201" s="18" t="s">
        <v>87</v>
      </c>
    </row>
    <row r="202" spans="2:47" s="1" customFormat="1" ht="11.25">
      <c r="B202" s="33"/>
      <c r="D202" s="146" t="s">
        <v>189</v>
      </c>
      <c r="F202" s="147" t="s">
        <v>915</v>
      </c>
      <c r="I202" s="144"/>
      <c r="L202" s="33"/>
      <c r="M202" s="145"/>
      <c r="T202" s="54"/>
      <c r="AT202" s="18" t="s">
        <v>189</v>
      </c>
      <c r="AU202" s="18" t="s">
        <v>87</v>
      </c>
    </row>
    <row r="203" spans="2:65" s="1" customFormat="1" ht="24.2" customHeight="1">
      <c r="B203" s="128"/>
      <c r="C203" s="129" t="s">
        <v>483</v>
      </c>
      <c r="D203" s="129" t="s">
        <v>180</v>
      </c>
      <c r="E203" s="130" t="s">
        <v>916</v>
      </c>
      <c r="F203" s="131" t="s">
        <v>917</v>
      </c>
      <c r="G203" s="132" t="s">
        <v>243</v>
      </c>
      <c r="H203" s="133">
        <v>1</v>
      </c>
      <c r="I203" s="134"/>
      <c r="J203" s="135">
        <f>ROUND(I203*H203,2)</f>
        <v>0</v>
      </c>
      <c r="K203" s="131" t="s">
        <v>184</v>
      </c>
      <c r="L203" s="33"/>
      <c r="M203" s="136" t="s">
        <v>3</v>
      </c>
      <c r="N203" s="137" t="s">
        <v>48</v>
      </c>
      <c r="P203" s="138">
        <f>O203*H203</f>
        <v>0</v>
      </c>
      <c r="Q203" s="138">
        <v>0</v>
      </c>
      <c r="R203" s="138">
        <f>Q203*H203</f>
        <v>0</v>
      </c>
      <c r="S203" s="138">
        <v>0</v>
      </c>
      <c r="T203" s="139">
        <f>S203*H203</f>
        <v>0</v>
      </c>
      <c r="AR203" s="140" t="s">
        <v>540</v>
      </c>
      <c r="AT203" s="140" t="s">
        <v>180</v>
      </c>
      <c r="AU203" s="140" t="s">
        <v>87</v>
      </c>
      <c r="AY203" s="18" t="s">
        <v>177</v>
      </c>
      <c r="BE203" s="141">
        <f>IF(N203="základní",J203,0)</f>
        <v>0</v>
      </c>
      <c r="BF203" s="141">
        <f>IF(N203="snížená",J203,0)</f>
        <v>0</v>
      </c>
      <c r="BG203" s="141">
        <f>IF(N203="zákl. přenesená",J203,0)</f>
        <v>0</v>
      </c>
      <c r="BH203" s="141">
        <f>IF(N203="sníž. přenesená",J203,0)</f>
        <v>0</v>
      </c>
      <c r="BI203" s="141">
        <f>IF(N203="nulová",J203,0)</f>
        <v>0</v>
      </c>
      <c r="BJ203" s="18" t="s">
        <v>85</v>
      </c>
      <c r="BK203" s="141">
        <f>ROUND(I203*H203,2)</f>
        <v>0</v>
      </c>
      <c r="BL203" s="18" t="s">
        <v>540</v>
      </c>
      <c r="BM203" s="140" t="s">
        <v>918</v>
      </c>
    </row>
    <row r="204" spans="2:47" s="1" customFormat="1" ht="11.25">
      <c r="B204" s="33"/>
      <c r="D204" s="142" t="s">
        <v>187</v>
      </c>
      <c r="F204" s="143" t="s">
        <v>917</v>
      </c>
      <c r="I204" s="144"/>
      <c r="L204" s="33"/>
      <c r="M204" s="145"/>
      <c r="T204" s="54"/>
      <c r="AT204" s="18" t="s">
        <v>187</v>
      </c>
      <c r="AU204" s="18" t="s">
        <v>87</v>
      </c>
    </row>
    <row r="205" spans="2:47" s="1" customFormat="1" ht="11.25">
      <c r="B205" s="33"/>
      <c r="D205" s="146" t="s">
        <v>189</v>
      </c>
      <c r="F205" s="147" t="s">
        <v>919</v>
      </c>
      <c r="I205" s="144"/>
      <c r="L205" s="33"/>
      <c r="M205" s="189"/>
      <c r="N205" s="190"/>
      <c r="O205" s="190"/>
      <c r="P205" s="190"/>
      <c r="Q205" s="190"/>
      <c r="R205" s="190"/>
      <c r="S205" s="190"/>
      <c r="T205" s="191"/>
      <c r="AT205" s="18" t="s">
        <v>189</v>
      </c>
      <c r="AU205" s="18" t="s">
        <v>87</v>
      </c>
    </row>
    <row r="206" spans="2:12" s="1" customFormat="1" ht="6.95" customHeight="1">
      <c r="B206" s="42"/>
      <c r="C206" s="43"/>
      <c r="D206" s="43"/>
      <c r="E206" s="43"/>
      <c r="F206" s="43"/>
      <c r="G206" s="43"/>
      <c r="H206" s="43"/>
      <c r="I206" s="43"/>
      <c r="J206" s="43"/>
      <c r="K206" s="43"/>
      <c r="L206" s="33"/>
    </row>
  </sheetData>
  <autoFilter ref="C86:K205"/>
  <mergeCells count="9">
    <mergeCell ref="E50:H50"/>
    <mergeCell ref="E77:H77"/>
    <mergeCell ref="E79:H79"/>
    <mergeCell ref="L2:V2"/>
    <mergeCell ref="E7:H7"/>
    <mergeCell ref="E9:H9"/>
    <mergeCell ref="E18:H18"/>
    <mergeCell ref="E27:H27"/>
    <mergeCell ref="E48:H48"/>
  </mergeCells>
  <hyperlinks>
    <hyperlink ref="F92" r:id="rId1" display="https://podminky.urs.cz/item/CS_URS_2022_02/964053111"/>
    <hyperlink ref="F97" r:id="rId2" display="https://podminky.urs.cz/item/CS_URS_2022_02/975053141"/>
    <hyperlink ref="F103" r:id="rId3" display="https://podminky.urs.cz/item/CS_URS_2022_02/975058141"/>
    <hyperlink ref="F107" r:id="rId4" display="https://podminky.urs.cz/item/CS_URS_2022_02/977211111"/>
    <hyperlink ref="F113" r:id="rId5" display="https://podminky.urs.cz/item/CS_URS_2022_02/977211112"/>
    <hyperlink ref="F128" r:id="rId6" display="https://podminky.urs.cz/item/CS_URS_2022_02/977211113"/>
    <hyperlink ref="F134" r:id="rId7" display="https://podminky.urs.cz/item/CS_URS_2022_02/981013715"/>
    <hyperlink ref="F142" r:id="rId8" display="https://podminky.urs.cz/item/CS_URS_2022_02/997006007"/>
    <hyperlink ref="F146" r:id="rId9" display="https://podminky.urs.cz/item/CS_URS_2022_02/997006511"/>
    <hyperlink ref="F150" r:id="rId10" display="https://podminky.urs.cz/item/CS_URS_2022_02/997006512"/>
    <hyperlink ref="F158" r:id="rId11" display="https://podminky.urs.cz/item/CS_URS_2022_02/997006519"/>
    <hyperlink ref="F163" r:id="rId12" display="https://podminky.urs.cz/item/CS_URS_2022_02/997006551"/>
    <hyperlink ref="F167" r:id="rId13" display="https://podminky.urs.cz/item/CS_URS_2022_02/997013861"/>
    <hyperlink ref="F172" r:id="rId14" display="https://podminky.urs.cz/item/CS_URS_2022_02/997013871"/>
    <hyperlink ref="F180" r:id="rId15" display="https://podminky.urs.cz/item/CS_URS_2022_02/998018002"/>
    <hyperlink ref="F186" r:id="rId16" display="https://podminky.urs.cz/item/CS_URS_2022_02/013264000"/>
    <hyperlink ref="F192" r:id="rId17" display="https://podminky.urs.cz/item/CS_URS_2022_02/034103000"/>
    <hyperlink ref="F195" r:id="rId18" display="https://podminky.urs.cz/item/CS_URS_2022_02/034603000"/>
    <hyperlink ref="F202" r:id="rId19" display="https://podminky.urs.cz/item/CS_URS_2022_02/072103001"/>
    <hyperlink ref="F205" r:id="rId20" display="https://podminky.urs.cz/item/CS_URS_2022_02/072103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54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99</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30" customHeight="1">
      <c r="B9" s="33"/>
      <c r="E9" s="281" t="s">
        <v>920</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ROUND(J92,2)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ROUND((SUM(BE92:BE543)),2)</f>
        <v>0</v>
      </c>
      <c r="I33" s="90">
        <v>0.21</v>
      </c>
      <c r="J33" s="89">
        <f>ROUND(((SUM(BE92:BE543))*I33),2)</f>
        <v>0</v>
      </c>
      <c r="L33" s="33"/>
    </row>
    <row r="34" spans="2:12" s="1" customFormat="1" ht="14.45" customHeight="1">
      <c r="B34" s="33"/>
      <c r="E34" s="28" t="s">
        <v>49</v>
      </c>
      <c r="F34" s="89">
        <f>ROUND((SUM(BF92:BF543)),2)</f>
        <v>0</v>
      </c>
      <c r="I34" s="90">
        <v>0.15</v>
      </c>
      <c r="J34" s="89">
        <f>ROUND(((SUM(BF92:BF543))*I34),2)</f>
        <v>0</v>
      </c>
      <c r="L34" s="33"/>
    </row>
    <row r="35" spans="2:12" s="1" customFormat="1" ht="14.45" customHeight="1" hidden="1">
      <c r="B35" s="33"/>
      <c r="E35" s="28" t="s">
        <v>50</v>
      </c>
      <c r="F35" s="89">
        <f>ROUND((SUM(BG92:BG543)),2)</f>
        <v>0</v>
      </c>
      <c r="I35" s="90">
        <v>0.21</v>
      </c>
      <c r="J35" s="89">
        <f>0</f>
        <v>0</v>
      </c>
      <c r="L35" s="33"/>
    </row>
    <row r="36" spans="2:12" s="1" customFormat="1" ht="14.45" customHeight="1" hidden="1">
      <c r="B36" s="33"/>
      <c r="E36" s="28" t="s">
        <v>51</v>
      </c>
      <c r="F36" s="89">
        <f>ROUND((SUM(BH92:BH543)),2)</f>
        <v>0</v>
      </c>
      <c r="I36" s="90">
        <v>0.15</v>
      </c>
      <c r="J36" s="89">
        <f>0</f>
        <v>0</v>
      </c>
      <c r="L36" s="33"/>
    </row>
    <row r="37" spans="2:12" s="1" customFormat="1" ht="14.45" customHeight="1" hidden="1">
      <c r="B37" s="33"/>
      <c r="E37" s="28" t="s">
        <v>52</v>
      </c>
      <c r="F37" s="89">
        <f>ROUND((SUM(BI92:BI543)),2)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30" customHeight="1">
      <c r="B50" s="33"/>
      <c r="E50" s="281" t="str">
        <f>E9</f>
        <v>E 5 - Dozdívky a vybourání otvorů v plášti, odstranění pláště střechy</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J92</f>
        <v>0</v>
      </c>
      <c r="L59" s="33"/>
      <c r="AU59" s="18" t="s">
        <v>152</v>
      </c>
    </row>
    <row r="60" spans="2:12" s="8" customFormat="1" ht="24.95" customHeight="1">
      <c r="B60" s="100"/>
      <c r="D60" s="101" t="s">
        <v>153</v>
      </c>
      <c r="E60" s="102"/>
      <c r="F60" s="102"/>
      <c r="G60" s="102"/>
      <c r="H60" s="102"/>
      <c r="I60" s="102"/>
      <c r="J60" s="103">
        <f>J93</f>
        <v>0</v>
      </c>
      <c r="L60" s="100"/>
    </row>
    <row r="61" spans="2:12" s="9" customFormat="1" ht="19.9" customHeight="1">
      <c r="B61" s="104"/>
      <c r="D61" s="105" t="s">
        <v>545</v>
      </c>
      <c r="E61" s="106"/>
      <c r="F61" s="106"/>
      <c r="G61" s="106"/>
      <c r="H61" s="106"/>
      <c r="I61" s="106"/>
      <c r="J61" s="107">
        <f>J94</f>
        <v>0</v>
      </c>
      <c r="L61" s="104"/>
    </row>
    <row r="62" spans="2:12" s="9" customFormat="1" ht="19.9" customHeight="1">
      <c r="B62" s="104"/>
      <c r="D62" s="105" t="s">
        <v>546</v>
      </c>
      <c r="E62" s="106"/>
      <c r="F62" s="106"/>
      <c r="G62" s="106"/>
      <c r="H62" s="106"/>
      <c r="I62" s="106"/>
      <c r="J62" s="107">
        <f>J162</f>
        <v>0</v>
      </c>
      <c r="L62" s="104"/>
    </row>
    <row r="63" spans="2:12" s="9" customFormat="1" ht="19.9" customHeight="1">
      <c r="B63" s="104"/>
      <c r="D63" s="105" t="s">
        <v>325</v>
      </c>
      <c r="E63" s="106"/>
      <c r="F63" s="106"/>
      <c r="G63" s="106"/>
      <c r="H63" s="106"/>
      <c r="I63" s="106"/>
      <c r="J63" s="107">
        <f>J179</f>
        <v>0</v>
      </c>
      <c r="L63" s="104"/>
    </row>
    <row r="64" spans="2:12" s="9" customFormat="1" ht="19.9" customHeight="1">
      <c r="B64" s="104"/>
      <c r="D64" s="105" t="s">
        <v>154</v>
      </c>
      <c r="E64" s="106"/>
      <c r="F64" s="106"/>
      <c r="G64" s="106"/>
      <c r="H64" s="106"/>
      <c r="I64" s="106"/>
      <c r="J64" s="107">
        <f>J405</f>
        <v>0</v>
      </c>
      <c r="L64" s="104"/>
    </row>
    <row r="65" spans="2:12" s="9" customFormat="1" ht="19.9" customHeight="1">
      <c r="B65" s="104"/>
      <c r="D65" s="105" t="s">
        <v>326</v>
      </c>
      <c r="E65" s="106"/>
      <c r="F65" s="106"/>
      <c r="G65" s="106"/>
      <c r="H65" s="106"/>
      <c r="I65" s="106"/>
      <c r="J65" s="107">
        <f>J457</f>
        <v>0</v>
      </c>
      <c r="L65" s="104"/>
    </row>
    <row r="66" spans="2:12" s="8" customFormat="1" ht="24.95" customHeight="1">
      <c r="B66" s="100"/>
      <c r="D66" s="101" t="s">
        <v>155</v>
      </c>
      <c r="E66" s="102"/>
      <c r="F66" s="102"/>
      <c r="G66" s="102"/>
      <c r="H66" s="102"/>
      <c r="I66" s="102"/>
      <c r="J66" s="103">
        <f>J462</f>
        <v>0</v>
      </c>
      <c r="L66" s="100"/>
    </row>
    <row r="67" spans="2:12" s="9" customFormat="1" ht="19.9" customHeight="1">
      <c r="B67" s="104"/>
      <c r="D67" s="105" t="s">
        <v>921</v>
      </c>
      <c r="E67" s="106"/>
      <c r="F67" s="106"/>
      <c r="G67" s="106"/>
      <c r="H67" s="106"/>
      <c r="I67" s="106"/>
      <c r="J67" s="107">
        <f>J463</f>
        <v>0</v>
      </c>
      <c r="L67" s="104"/>
    </row>
    <row r="68" spans="2:12" s="9" customFormat="1" ht="19.9" customHeight="1">
      <c r="B68" s="104"/>
      <c r="D68" s="105" t="s">
        <v>548</v>
      </c>
      <c r="E68" s="106"/>
      <c r="F68" s="106"/>
      <c r="G68" s="106"/>
      <c r="H68" s="106"/>
      <c r="I68" s="106"/>
      <c r="J68" s="107">
        <f>J481</f>
        <v>0</v>
      </c>
      <c r="L68" s="104"/>
    </row>
    <row r="69" spans="2:12" s="9" customFormat="1" ht="19.9" customHeight="1">
      <c r="B69" s="104"/>
      <c r="D69" s="105" t="s">
        <v>922</v>
      </c>
      <c r="E69" s="106"/>
      <c r="F69" s="106"/>
      <c r="G69" s="106"/>
      <c r="H69" s="106"/>
      <c r="I69" s="106"/>
      <c r="J69" s="107">
        <f>J493</f>
        <v>0</v>
      </c>
      <c r="L69" s="104"/>
    </row>
    <row r="70" spans="2:12" s="9" customFormat="1" ht="19.9" customHeight="1">
      <c r="B70" s="104"/>
      <c r="D70" s="105" t="s">
        <v>923</v>
      </c>
      <c r="E70" s="106"/>
      <c r="F70" s="106"/>
      <c r="G70" s="106"/>
      <c r="H70" s="106"/>
      <c r="I70" s="106"/>
      <c r="J70" s="107">
        <f>J507</f>
        <v>0</v>
      </c>
      <c r="L70" s="104"/>
    </row>
    <row r="71" spans="2:12" s="9" customFormat="1" ht="19.9" customHeight="1">
      <c r="B71" s="104"/>
      <c r="D71" s="105" t="s">
        <v>924</v>
      </c>
      <c r="E71" s="106"/>
      <c r="F71" s="106"/>
      <c r="G71" s="106"/>
      <c r="H71" s="106"/>
      <c r="I71" s="106"/>
      <c r="J71" s="107">
        <f>J531</f>
        <v>0</v>
      </c>
      <c r="L71" s="104"/>
    </row>
    <row r="72" spans="2:12" s="8" customFormat="1" ht="24.95" customHeight="1">
      <c r="B72" s="100"/>
      <c r="D72" s="101" t="s">
        <v>161</v>
      </c>
      <c r="E72" s="102"/>
      <c r="F72" s="102"/>
      <c r="G72" s="102"/>
      <c r="H72" s="102"/>
      <c r="I72" s="102"/>
      <c r="J72" s="103">
        <f>J540</f>
        <v>0</v>
      </c>
      <c r="L72" s="100"/>
    </row>
    <row r="73" spans="2:12" s="1" customFormat="1" ht="21.75" customHeight="1">
      <c r="B73" s="33"/>
      <c r="L73" s="33"/>
    </row>
    <row r="74" spans="2:12" s="1" customFormat="1" ht="6.95" customHeight="1">
      <c r="B74" s="42"/>
      <c r="C74" s="43"/>
      <c r="D74" s="43"/>
      <c r="E74" s="43"/>
      <c r="F74" s="43"/>
      <c r="G74" s="43"/>
      <c r="H74" s="43"/>
      <c r="I74" s="43"/>
      <c r="J74" s="43"/>
      <c r="K74" s="43"/>
      <c r="L74" s="33"/>
    </row>
    <row r="78" spans="2:12" s="1" customFormat="1" ht="6.95" customHeight="1">
      <c r="B78" s="44"/>
      <c r="C78" s="45"/>
      <c r="D78" s="45"/>
      <c r="E78" s="45"/>
      <c r="F78" s="45"/>
      <c r="G78" s="45"/>
      <c r="H78" s="45"/>
      <c r="I78" s="45"/>
      <c r="J78" s="45"/>
      <c r="K78" s="45"/>
      <c r="L78" s="33"/>
    </row>
    <row r="79" spans="2:12" s="1" customFormat="1" ht="24.95" customHeight="1">
      <c r="B79" s="33"/>
      <c r="C79" s="22" t="s">
        <v>162</v>
      </c>
      <c r="L79" s="33"/>
    </row>
    <row r="80" spans="2:12" s="1" customFormat="1" ht="6.95" customHeight="1">
      <c r="B80" s="33"/>
      <c r="L80" s="33"/>
    </row>
    <row r="81" spans="2:12" s="1" customFormat="1" ht="12" customHeight="1">
      <c r="B81" s="33"/>
      <c r="C81" s="28" t="s">
        <v>17</v>
      </c>
      <c r="L81" s="33"/>
    </row>
    <row r="82" spans="2:12" s="1" customFormat="1" ht="16.5" customHeight="1">
      <c r="B82" s="33"/>
      <c r="E82" s="315" t="str">
        <f>E7</f>
        <v>ZŠ P. HOLÉHO - PŘESTAVBA PLAVECKÉHO PAVILONU</v>
      </c>
      <c r="F82" s="316"/>
      <c r="G82" s="316"/>
      <c r="H82" s="316"/>
      <c r="L82" s="33"/>
    </row>
    <row r="83" spans="2:12" s="1" customFormat="1" ht="12" customHeight="1">
      <c r="B83" s="33"/>
      <c r="C83" s="28" t="s">
        <v>146</v>
      </c>
      <c r="L83" s="33"/>
    </row>
    <row r="84" spans="2:12" s="1" customFormat="1" ht="30" customHeight="1">
      <c r="B84" s="33"/>
      <c r="E84" s="281" t="str">
        <f>E9</f>
        <v>E 5 - Dozdívky a vybourání otvorů v plášti, odstranění pláště střechy</v>
      </c>
      <c r="F84" s="317"/>
      <c r="G84" s="317"/>
      <c r="H84" s="317"/>
      <c r="L84" s="33"/>
    </row>
    <row r="85" spans="2:12" s="1" customFormat="1" ht="6.95" customHeight="1">
      <c r="B85" s="33"/>
      <c r="L85" s="33"/>
    </row>
    <row r="86" spans="2:12" s="1" customFormat="1" ht="12" customHeight="1">
      <c r="B86" s="33"/>
      <c r="C86" s="28" t="s">
        <v>21</v>
      </c>
      <c r="F86" s="26" t="str">
        <f>F12</f>
        <v>Prokopa Holého 2632, Louny, 440 01</v>
      </c>
      <c r="I86" s="28" t="s">
        <v>23</v>
      </c>
      <c r="J86" s="50" t="str">
        <f>IF(J12="","",J12)</f>
        <v>21. 9. 2022</v>
      </c>
      <c r="L86" s="33"/>
    </row>
    <row r="87" spans="2:12" s="1" customFormat="1" ht="6.95" customHeight="1">
      <c r="B87" s="33"/>
      <c r="L87" s="33"/>
    </row>
    <row r="88" spans="2:12" s="1" customFormat="1" ht="15.2" customHeight="1">
      <c r="B88" s="33"/>
      <c r="C88" s="28" t="s">
        <v>25</v>
      </c>
      <c r="F88" s="26" t="str">
        <f>E15</f>
        <v>Město Louny</v>
      </c>
      <c r="I88" s="28" t="s">
        <v>32</v>
      </c>
      <c r="J88" s="31" t="str">
        <f>E21</f>
        <v>RYSIK Design s.r.o.</v>
      </c>
      <c r="L88" s="33"/>
    </row>
    <row r="89" spans="2:12" s="1" customFormat="1" ht="25.7" customHeight="1">
      <c r="B89" s="33"/>
      <c r="C89" s="28" t="s">
        <v>30</v>
      </c>
      <c r="F89" s="26" t="str">
        <f>IF(E18="","",E18)</f>
        <v>Vyplň údaj</v>
      </c>
      <c r="I89" s="28" t="s">
        <v>37</v>
      </c>
      <c r="J89" s="31" t="str">
        <f>E24</f>
        <v>ing. Kateřina Tumpachová</v>
      </c>
      <c r="L89" s="33"/>
    </row>
    <row r="90" spans="2:12" s="1" customFormat="1" ht="10.35" customHeight="1">
      <c r="B90" s="33"/>
      <c r="L90" s="33"/>
    </row>
    <row r="91" spans="2:20" s="10" customFormat="1" ht="29.25" customHeight="1">
      <c r="B91" s="108"/>
      <c r="C91" s="109" t="s">
        <v>163</v>
      </c>
      <c r="D91" s="110" t="s">
        <v>62</v>
      </c>
      <c r="E91" s="110" t="s">
        <v>58</v>
      </c>
      <c r="F91" s="110" t="s">
        <v>59</v>
      </c>
      <c r="G91" s="110" t="s">
        <v>164</v>
      </c>
      <c r="H91" s="110" t="s">
        <v>165</v>
      </c>
      <c r="I91" s="110" t="s">
        <v>166</v>
      </c>
      <c r="J91" s="110" t="s">
        <v>151</v>
      </c>
      <c r="K91" s="111" t="s">
        <v>167</v>
      </c>
      <c r="L91" s="108"/>
      <c r="M91" s="57" t="s">
        <v>3</v>
      </c>
      <c r="N91" s="58" t="s">
        <v>47</v>
      </c>
      <c r="O91" s="58" t="s">
        <v>168</v>
      </c>
      <c r="P91" s="58" t="s">
        <v>169</v>
      </c>
      <c r="Q91" s="58" t="s">
        <v>170</v>
      </c>
      <c r="R91" s="58" t="s">
        <v>171</v>
      </c>
      <c r="S91" s="58" t="s">
        <v>172</v>
      </c>
      <c r="T91" s="59" t="s">
        <v>173</v>
      </c>
    </row>
    <row r="92" spans="2:63" s="1" customFormat="1" ht="22.9" customHeight="1">
      <c r="B92" s="33"/>
      <c r="C92" s="62" t="s">
        <v>174</v>
      </c>
      <c r="J92" s="112">
        <f>BK92</f>
        <v>0</v>
      </c>
      <c r="L92" s="33"/>
      <c r="M92" s="60"/>
      <c r="N92" s="51"/>
      <c r="O92" s="51"/>
      <c r="P92" s="113">
        <f>P93+P462+P540</f>
        <v>0</v>
      </c>
      <c r="Q92" s="51"/>
      <c r="R92" s="113">
        <f>R93+R462+R540</f>
        <v>27.4063371047</v>
      </c>
      <c r="S92" s="51"/>
      <c r="T92" s="114">
        <f>T93+T462+T540</f>
        <v>203.28802012000003</v>
      </c>
      <c r="AT92" s="18" t="s">
        <v>76</v>
      </c>
      <c r="AU92" s="18" t="s">
        <v>152</v>
      </c>
      <c r="BK92" s="115">
        <f>BK93+BK462+BK540</f>
        <v>0</v>
      </c>
    </row>
    <row r="93" spans="2:63" s="11" customFormat="1" ht="25.9" customHeight="1">
      <c r="B93" s="116"/>
      <c r="D93" s="117" t="s">
        <v>76</v>
      </c>
      <c r="E93" s="118" t="s">
        <v>175</v>
      </c>
      <c r="F93" s="118" t="s">
        <v>176</v>
      </c>
      <c r="I93" s="119"/>
      <c r="J93" s="120">
        <f>BK93</f>
        <v>0</v>
      </c>
      <c r="L93" s="116"/>
      <c r="M93" s="121"/>
      <c r="P93" s="122">
        <f>P94+P162+P179+P405+P457</f>
        <v>0</v>
      </c>
      <c r="R93" s="122">
        <f>R94+R162+R179+R405+R457</f>
        <v>27.4063371047</v>
      </c>
      <c r="T93" s="123">
        <f>T94+T162+T179+T405+T457</f>
        <v>157.63397000000003</v>
      </c>
      <c r="AR93" s="117" t="s">
        <v>85</v>
      </c>
      <c r="AT93" s="124" t="s">
        <v>76</v>
      </c>
      <c r="AU93" s="124" t="s">
        <v>77</v>
      </c>
      <c r="AY93" s="117" t="s">
        <v>177</v>
      </c>
      <c r="BK93" s="125">
        <f>BK94+BK162+BK179+BK405+BK457</f>
        <v>0</v>
      </c>
    </row>
    <row r="94" spans="2:63" s="11" customFormat="1" ht="22.9" customHeight="1">
      <c r="B94" s="116"/>
      <c r="D94" s="117" t="s">
        <v>76</v>
      </c>
      <c r="E94" s="126" t="s">
        <v>198</v>
      </c>
      <c r="F94" s="126" t="s">
        <v>559</v>
      </c>
      <c r="I94" s="119"/>
      <c r="J94" s="127">
        <f>BK94</f>
        <v>0</v>
      </c>
      <c r="L94" s="116"/>
      <c r="M94" s="121"/>
      <c r="P94" s="122">
        <f>SUM(P95:P161)</f>
        <v>0</v>
      </c>
      <c r="R94" s="122">
        <f>SUM(R95:R161)</f>
        <v>15.6005886053</v>
      </c>
      <c r="T94" s="123">
        <f>SUM(T95:T161)</f>
        <v>0</v>
      </c>
      <c r="AR94" s="117" t="s">
        <v>85</v>
      </c>
      <c r="AT94" s="124" t="s">
        <v>76</v>
      </c>
      <c r="AU94" s="124" t="s">
        <v>85</v>
      </c>
      <c r="AY94" s="117" t="s">
        <v>177</v>
      </c>
      <c r="BK94" s="125">
        <f>SUM(BK95:BK161)</f>
        <v>0</v>
      </c>
    </row>
    <row r="95" spans="2:65" s="1" customFormat="1" ht="37.9" customHeight="1">
      <c r="B95" s="128"/>
      <c r="C95" s="129" t="s">
        <v>85</v>
      </c>
      <c r="D95" s="129" t="s">
        <v>180</v>
      </c>
      <c r="E95" s="130" t="s">
        <v>568</v>
      </c>
      <c r="F95" s="131" t="s">
        <v>569</v>
      </c>
      <c r="G95" s="132" t="s">
        <v>332</v>
      </c>
      <c r="H95" s="133">
        <v>13.746</v>
      </c>
      <c r="I95" s="134"/>
      <c r="J95" s="135">
        <f>ROUND(I95*H95,2)</f>
        <v>0</v>
      </c>
      <c r="K95" s="131" t="s">
        <v>184</v>
      </c>
      <c r="L95" s="33"/>
      <c r="M95" s="136" t="s">
        <v>3</v>
      </c>
      <c r="N95" s="137" t="s">
        <v>48</v>
      </c>
      <c r="P95" s="138">
        <f>O95*H95</f>
        <v>0</v>
      </c>
      <c r="Q95" s="138">
        <v>0.15274</v>
      </c>
      <c r="R95" s="138">
        <f>Q95*H95</f>
        <v>2.0995640399999997</v>
      </c>
      <c r="S95" s="138">
        <v>0</v>
      </c>
      <c r="T95" s="139">
        <f>S95*H95</f>
        <v>0</v>
      </c>
      <c r="AR95" s="140" t="s">
        <v>185</v>
      </c>
      <c r="AT95" s="140" t="s">
        <v>180</v>
      </c>
      <c r="AU95" s="140" t="s">
        <v>87</v>
      </c>
      <c r="AY95" s="18" t="s">
        <v>177</v>
      </c>
      <c r="BE95" s="141">
        <f>IF(N95="základní",J95,0)</f>
        <v>0</v>
      </c>
      <c r="BF95" s="141">
        <f>IF(N95="snížená",J95,0)</f>
        <v>0</v>
      </c>
      <c r="BG95" s="141">
        <f>IF(N95="zákl. přenesená",J95,0)</f>
        <v>0</v>
      </c>
      <c r="BH95" s="141">
        <f>IF(N95="sníž. přenesená",J95,0)</f>
        <v>0</v>
      </c>
      <c r="BI95" s="141">
        <f>IF(N95="nulová",J95,0)</f>
        <v>0</v>
      </c>
      <c r="BJ95" s="18" t="s">
        <v>85</v>
      </c>
      <c r="BK95" s="141">
        <f>ROUND(I95*H95,2)</f>
        <v>0</v>
      </c>
      <c r="BL95" s="18" t="s">
        <v>185</v>
      </c>
      <c r="BM95" s="140" t="s">
        <v>925</v>
      </c>
    </row>
    <row r="96" spans="2:47" s="1" customFormat="1" ht="29.25">
      <c r="B96" s="33"/>
      <c r="D96" s="142" t="s">
        <v>187</v>
      </c>
      <c r="F96" s="143" t="s">
        <v>571</v>
      </c>
      <c r="I96" s="144"/>
      <c r="L96" s="33"/>
      <c r="M96" s="145"/>
      <c r="T96" s="54"/>
      <c r="AT96" s="18" t="s">
        <v>187</v>
      </c>
      <c r="AU96" s="18" t="s">
        <v>87</v>
      </c>
    </row>
    <row r="97" spans="2:47" s="1" customFormat="1" ht="11.25">
      <c r="B97" s="33"/>
      <c r="D97" s="146" t="s">
        <v>189</v>
      </c>
      <c r="F97" s="147" t="s">
        <v>572</v>
      </c>
      <c r="I97" s="144"/>
      <c r="L97" s="33"/>
      <c r="M97" s="145"/>
      <c r="T97" s="54"/>
      <c r="AT97" s="18" t="s">
        <v>189</v>
      </c>
      <c r="AU97" s="18" t="s">
        <v>87</v>
      </c>
    </row>
    <row r="98" spans="2:51" s="13" customFormat="1" ht="11.25">
      <c r="B98" s="156"/>
      <c r="D98" s="142" t="s">
        <v>193</v>
      </c>
      <c r="E98" s="157" t="s">
        <v>3</v>
      </c>
      <c r="F98" s="158" t="s">
        <v>926</v>
      </c>
      <c r="H98" s="157" t="s">
        <v>3</v>
      </c>
      <c r="I98" s="159"/>
      <c r="L98" s="156"/>
      <c r="M98" s="160"/>
      <c r="T98" s="161"/>
      <c r="AT98" s="157" t="s">
        <v>193</v>
      </c>
      <c r="AU98" s="157" t="s">
        <v>87</v>
      </c>
      <c r="AV98" s="13" t="s">
        <v>85</v>
      </c>
      <c r="AW98" s="13" t="s">
        <v>36</v>
      </c>
      <c r="AX98" s="13" t="s">
        <v>77</v>
      </c>
      <c r="AY98" s="157" t="s">
        <v>177</v>
      </c>
    </row>
    <row r="99" spans="2:51" s="12" customFormat="1" ht="11.25">
      <c r="B99" s="149"/>
      <c r="D99" s="142" t="s">
        <v>193</v>
      </c>
      <c r="E99" s="150" t="s">
        <v>3</v>
      </c>
      <c r="F99" s="151" t="s">
        <v>927</v>
      </c>
      <c r="H99" s="152">
        <v>13.746</v>
      </c>
      <c r="I99" s="153"/>
      <c r="L99" s="149"/>
      <c r="M99" s="154"/>
      <c r="T99" s="155"/>
      <c r="AT99" s="150" t="s">
        <v>193</v>
      </c>
      <c r="AU99" s="150" t="s">
        <v>87</v>
      </c>
      <c r="AV99" s="12" t="s">
        <v>87</v>
      </c>
      <c r="AW99" s="12" t="s">
        <v>36</v>
      </c>
      <c r="AX99" s="12" t="s">
        <v>77</v>
      </c>
      <c r="AY99" s="150" t="s">
        <v>177</v>
      </c>
    </row>
    <row r="100" spans="2:51" s="15" customFormat="1" ht="11.25">
      <c r="B100" s="169"/>
      <c r="D100" s="142" t="s">
        <v>193</v>
      </c>
      <c r="E100" s="170" t="s">
        <v>3</v>
      </c>
      <c r="F100" s="171" t="s">
        <v>201</v>
      </c>
      <c r="H100" s="172">
        <v>13.746</v>
      </c>
      <c r="I100" s="173"/>
      <c r="L100" s="169"/>
      <c r="M100" s="174"/>
      <c r="T100" s="175"/>
      <c r="AT100" s="170" t="s">
        <v>193</v>
      </c>
      <c r="AU100" s="170" t="s">
        <v>87</v>
      </c>
      <c r="AV100" s="15" t="s">
        <v>185</v>
      </c>
      <c r="AW100" s="15" t="s">
        <v>36</v>
      </c>
      <c r="AX100" s="15" t="s">
        <v>85</v>
      </c>
      <c r="AY100" s="170" t="s">
        <v>177</v>
      </c>
    </row>
    <row r="101" spans="2:65" s="1" customFormat="1" ht="33" customHeight="1">
      <c r="B101" s="128"/>
      <c r="C101" s="129" t="s">
        <v>87</v>
      </c>
      <c r="D101" s="129" t="s">
        <v>180</v>
      </c>
      <c r="E101" s="130" t="s">
        <v>575</v>
      </c>
      <c r="F101" s="131" t="s">
        <v>576</v>
      </c>
      <c r="G101" s="132" t="s">
        <v>332</v>
      </c>
      <c r="H101" s="133">
        <v>2</v>
      </c>
      <c r="I101" s="134"/>
      <c r="J101" s="135">
        <f>ROUND(I101*H101,2)</f>
        <v>0</v>
      </c>
      <c r="K101" s="131" t="s">
        <v>184</v>
      </c>
      <c r="L101" s="33"/>
      <c r="M101" s="136" t="s">
        <v>3</v>
      </c>
      <c r="N101" s="137" t="s">
        <v>48</v>
      </c>
      <c r="P101" s="138">
        <f>O101*H101</f>
        <v>0</v>
      </c>
      <c r="Q101" s="138">
        <v>0.18249</v>
      </c>
      <c r="R101" s="138">
        <f>Q101*H101</f>
        <v>0.36498</v>
      </c>
      <c r="S101" s="138">
        <v>0</v>
      </c>
      <c r="T101" s="139">
        <f>S101*H101</f>
        <v>0</v>
      </c>
      <c r="AR101" s="140" t="s">
        <v>185</v>
      </c>
      <c r="AT101" s="140" t="s">
        <v>180</v>
      </c>
      <c r="AU101" s="140" t="s">
        <v>87</v>
      </c>
      <c r="AY101" s="18" t="s">
        <v>177</v>
      </c>
      <c r="BE101" s="141">
        <f>IF(N101="základní",J101,0)</f>
        <v>0</v>
      </c>
      <c r="BF101" s="141">
        <f>IF(N101="snížená",J101,0)</f>
        <v>0</v>
      </c>
      <c r="BG101" s="141">
        <f>IF(N101="zákl. přenesená",J101,0)</f>
        <v>0</v>
      </c>
      <c r="BH101" s="141">
        <f>IF(N101="sníž. přenesená",J101,0)</f>
        <v>0</v>
      </c>
      <c r="BI101" s="141">
        <f>IF(N101="nulová",J101,0)</f>
        <v>0</v>
      </c>
      <c r="BJ101" s="18" t="s">
        <v>85</v>
      </c>
      <c r="BK101" s="141">
        <f>ROUND(I101*H101,2)</f>
        <v>0</v>
      </c>
      <c r="BL101" s="18" t="s">
        <v>185</v>
      </c>
      <c r="BM101" s="140" t="s">
        <v>928</v>
      </c>
    </row>
    <row r="102" spans="2:47" s="1" customFormat="1" ht="29.25">
      <c r="B102" s="33"/>
      <c r="D102" s="142" t="s">
        <v>187</v>
      </c>
      <c r="F102" s="143" t="s">
        <v>578</v>
      </c>
      <c r="I102" s="144"/>
      <c r="L102" s="33"/>
      <c r="M102" s="145"/>
      <c r="T102" s="54"/>
      <c r="AT102" s="18" t="s">
        <v>187</v>
      </c>
      <c r="AU102" s="18" t="s">
        <v>87</v>
      </c>
    </row>
    <row r="103" spans="2:47" s="1" customFormat="1" ht="11.25">
      <c r="B103" s="33"/>
      <c r="D103" s="146" t="s">
        <v>189</v>
      </c>
      <c r="F103" s="147" t="s">
        <v>579</v>
      </c>
      <c r="I103" s="144"/>
      <c r="L103" s="33"/>
      <c r="M103" s="145"/>
      <c r="T103" s="54"/>
      <c r="AT103" s="18" t="s">
        <v>189</v>
      </c>
      <c r="AU103" s="18" t="s">
        <v>87</v>
      </c>
    </row>
    <row r="104" spans="2:51" s="13" customFormat="1" ht="11.25">
      <c r="B104" s="156"/>
      <c r="D104" s="142" t="s">
        <v>193</v>
      </c>
      <c r="E104" s="157" t="s">
        <v>3</v>
      </c>
      <c r="F104" s="158" t="s">
        <v>929</v>
      </c>
      <c r="H104" s="157" t="s">
        <v>3</v>
      </c>
      <c r="I104" s="159"/>
      <c r="L104" s="156"/>
      <c r="M104" s="160"/>
      <c r="T104" s="161"/>
      <c r="AT104" s="157" t="s">
        <v>193</v>
      </c>
      <c r="AU104" s="157" t="s">
        <v>87</v>
      </c>
      <c r="AV104" s="13" t="s">
        <v>85</v>
      </c>
      <c r="AW104" s="13" t="s">
        <v>36</v>
      </c>
      <c r="AX104" s="13" t="s">
        <v>77</v>
      </c>
      <c r="AY104" s="157" t="s">
        <v>177</v>
      </c>
    </row>
    <row r="105" spans="2:51" s="12" customFormat="1" ht="11.25">
      <c r="B105" s="149"/>
      <c r="D105" s="142" t="s">
        <v>193</v>
      </c>
      <c r="E105" s="150" t="s">
        <v>3</v>
      </c>
      <c r="F105" s="151" t="s">
        <v>930</v>
      </c>
      <c r="H105" s="152">
        <v>2</v>
      </c>
      <c r="I105" s="153"/>
      <c r="L105" s="149"/>
      <c r="M105" s="154"/>
      <c r="T105" s="155"/>
      <c r="AT105" s="150" t="s">
        <v>193</v>
      </c>
      <c r="AU105" s="150" t="s">
        <v>87</v>
      </c>
      <c r="AV105" s="12" t="s">
        <v>87</v>
      </c>
      <c r="AW105" s="12" t="s">
        <v>36</v>
      </c>
      <c r="AX105" s="12" t="s">
        <v>85</v>
      </c>
      <c r="AY105" s="150" t="s">
        <v>177</v>
      </c>
    </row>
    <row r="106" spans="2:65" s="1" customFormat="1" ht="33" customHeight="1">
      <c r="B106" s="128"/>
      <c r="C106" s="129" t="s">
        <v>198</v>
      </c>
      <c r="D106" s="129" t="s">
        <v>180</v>
      </c>
      <c r="E106" s="130" t="s">
        <v>931</v>
      </c>
      <c r="F106" s="131" t="s">
        <v>932</v>
      </c>
      <c r="G106" s="132" t="s">
        <v>332</v>
      </c>
      <c r="H106" s="133">
        <v>67.537</v>
      </c>
      <c r="I106" s="134"/>
      <c r="J106" s="135">
        <f>ROUND(I106*H106,2)</f>
        <v>0</v>
      </c>
      <c r="K106" s="131" t="s">
        <v>184</v>
      </c>
      <c r="L106" s="33"/>
      <c r="M106" s="136" t="s">
        <v>3</v>
      </c>
      <c r="N106" s="137" t="s">
        <v>48</v>
      </c>
      <c r="P106" s="138">
        <f>O106*H106</f>
        <v>0</v>
      </c>
      <c r="Q106" s="138">
        <v>0.1774009</v>
      </c>
      <c r="R106" s="138">
        <f>Q106*H106</f>
        <v>11.981124583300002</v>
      </c>
      <c r="S106" s="138">
        <v>0</v>
      </c>
      <c r="T106" s="139">
        <f>S106*H106</f>
        <v>0</v>
      </c>
      <c r="AR106" s="140" t="s">
        <v>185</v>
      </c>
      <c r="AT106" s="140" t="s">
        <v>180</v>
      </c>
      <c r="AU106" s="140" t="s">
        <v>87</v>
      </c>
      <c r="AY106" s="18" t="s">
        <v>177</v>
      </c>
      <c r="BE106" s="141">
        <f>IF(N106="základní",J106,0)</f>
        <v>0</v>
      </c>
      <c r="BF106" s="141">
        <f>IF(N106="snížená",J106,0)</f>
        <v>0</v>
      </c>
      <c r="BG106" s="141">
        <f>IF(N106="zákl. přenesená",J106,0)</f>
        <v>0</v>
      </c>
      <c r="BH106" s="141">
        <f>IF(N106="sníž. přenesená",J106,0)</f>
        <v>0</v>
      </c>
      <c r="BI106" s="141">
        <f>IF(N106="nulová",J106,0)</f>
        <v>0</v>
      </c>
      <c r="BJ106" s="18" t="s">
        <v>85</v>
      </c>
      <c r="BK106" s="141">
        <f>ROUND(I106*H106,2)</f>
        <v>0</v>
      </c>
      <c r="BL106" s="18" t="s">
        <v>185</v>
      </c>
      <c r="BM106" s="140" t="s">
        <v>933</v>
      </c>
    </row>
    <row r="107" spans="2:47" s="1" customFormat="1" ht="29.25">
      <c r="B107" s="33"/>
      <c r="D107" s="142" t="s">
        <v>187</v>
      </c>
      <c r="F107" s="143" t="s">
        <v>934</v>
      </c>
      <c r="I107" s="144"/>
      <c r="L107" s="33"/>
      <c r="M107" s="145"/>
      <c r="T107" s="54"/>
      <c r="AT107" s="18" t="s">
        <v>187</v>
      </c>
      <c r="AU107" s="18" t="s">
        <v>87</v>
      </c>
    </row>
    <row r="108" spans="2:47" s="1" customFormat="1" ht="11.25">
      <c r="B108" s="33"/>
      <c r="D108" s="146" t="s">
        <v>189</v>
      </c>
      <c r="F108" s="147" t="s">
        <v>935</v>
      </c>
      <c r="I108" s="144"/>
      <c r="L108" s="33"/>
      <c r="M108" s="145"/>
      <c r="T108" s="54"/>
      <c r="AT108" s="18" t="s">
        <v>189</v>
      </c>
      <c r="AU108" s="18" t="s">
        <v>87</v>
      </c>
    </row>
    <row r="109" spans="2:51" s="13" customFormat="1" ht="11.25">
      <c r="B109" s="156"/>
      <c r="D109" s="142" t="s">
        <v>193</v>
      </c>
      <c r="E109" s="157" t="s">
        <v>3</v>
      </c>
      <c r="F109" s="158" t="s">
        <v>929</v>
      </c>
      <c r="H109" s="157" t="s">
        <v>3</v>
      </c>
      <c r="I109" s="159"/>
      <c r="L109" s="156"/>
      <c r="M109" s="160"/>
      <c r="T109" s="161"/>
      <c r="AT109" s="157" t="s">
        <v>193</v>
      </c>
      <c r="AU109" s="157" t="s">
        <v>87</v>
      </c>
      <c r="AV109" s="13" t="s">
        <v>85</v>
      </c>
      <c r="AW109" s="13" t="s">
        <v>36</v>
      </c>
      <c r="AX109" s="13" t="s">
        <v>77</v>
      </c>
      <c r="AY109" s="157" t="s">
        <v>177</v>
      </c>
    </row>
    <row r="110" spans="2:51" s="12" customFormat="1" ht="11.25">
      <c r="B110" s="149"/>
      <c r="D110" s="142" t="s">
        <v>193</v>
      </c>
      <c r="E110" s="150" t="s">
        <v>3</v>
      </c>
      <c r="F110" s="151" t="s">
        <v>936</v>
      </c>
      <c r="H110" s="152">
        <v>4.79</v>
      </c>
      <c r="I110" s="153"/>
      <c r="L110" s="149"/>
      <c r="M110" s="154"/>
      <c r="T110" s="155"/>
      <c r="AT110" s="150" t="s">
        <v>193</v>
      </c>
      <c r="AU110" s="150" t="s">
        <v>87</v>
      </c>
      <c r="AV110" s="12" t="s">
        <v>87</v>
      </c>
      <c r="AW110" s="12" t="s">
        <v>36</v>
      </c>
      <c r="AX110" s="12" t="s">
        <v>77</v>
      </c>
      <c r="AY110" s="150" t="s">
        <v>177</v>
      </c>
    </row>
    <row r="111" spans="2:51" s="13" customFormat="1" ht="11.25">
      <c r="B111" s="156"/>
      <c r="D111" s="142" t="s">
        <v>193</v>
      </c>
      <c r="E111" s="157" t="s">
        <v>3</v>
      </c>
      <c r="F111" s="158" t="s">
        <v>937</v>
      </c>
      <c r="H111" s="157" t="s">
        <v>3</v>
      </c>
      <c r="I111" s="159"/>
      <c r="L111" s="156"/>
      <c r="M111" s="160"/>
      <c r="T111" s="161"/>
      <c r="AT111" s="157" t="s">
        <v>193</v>
      </c>
      <c r="AU111" s="157" t="s">
        <v>87</v>
      </c>
      <c r="AV111" s="13" t="s">
        <v>85</v>
      </c>
      <c r="AW111" s="13" t="s">
        <v>36</v>
      </c>
      <c r="AX111" s="13" t="s">
        <v>77</v>
      </c>
      <c r="AY111" s="157" t="s">
        <v>177</v>
      </c>
    </row>
    <row r="112" spans="2:51" s="12" customFormat="1" ht="11.25">
      <c r="B112" s="149"/>
      <c r="D112" s="142" t="s">
        <v>193</v>
      </c>
      <c r="E112" s="150" t="s">
        <v>3</v>
      </c>
      <c r="F112" s="151" t="s">
        <v>938</v>
      </c>
      <c r="H112" s="152">
        <v>2.43</v>
      </c>
      <c r="I112" s="153"/>
      <c r="L112" s="149"/>
      <c r="M112" s="154"/>
      <c r="T112" s="155"/>
      <c r="AT112" s="150" t="s">
        <v>193</v>
      </c>
      <c r="AU112" s="150" t="s">
        <v>87</v>
      </c>
      <c r="AV112" s="12" t="s">
        <v>87</v>
      </c>
      <c r="AW112" s="12" t="s">
        <v>36</v>
      </c>
      <c r="AX112" s="12" t="s">
        <v>77</v>
      </c>
      <c r="AY112" s="150" t="s">
        <v>177</v>
      </c>
    </row>
    <row r="113" spans="2:51" s="12" customFormat="1" ht="11.25">
      <c r="B113" s="149"/>
      <c r="D113" s="142" t="s">
        <v>193</v>
      </c>
      <c r="E113" s="150" t="s">
        <v>3</v>
      </c>
      <c r="F113" s="151" t="s">
        <v>939</v>
      </c>
      <c r="H113" s="152">
        <v>10.416</v>
      </c>
      <c r="I113" s="153"/>
      <c r="L113" s="149"/>
      <c r="M113" s="154"/>
      <c r="T113" s="155"/>
      <c r="AT113" s="150" t="s">
        <v>193</v>
      </c>
      <c r="AU113" s="150" t="s">
        <v>87</v>
      </c>
      <c r="AV113" s="12" t="s">
        <v>87</v>
      </c>
      <c r="AW113" s="12" t="s">
        <v>36</v>
      </c>
      <c r="AX113" s="12" t="s">
        <v>77</v>
      </c>
      <c r="AY113" s="150" t="s">
        <v>177</v>
      </c>
    </row>
    <row r="114" spans="2:51" s="12" customFormat="1" ht="11.25">
      <c r="B114" s="149"/>
      <c r="D114" s="142" t="s">
        <v>193</v>
      </c>
      <c r="E114" s="150" t="s">
        <v>3</v>
      </c>
      <c r="F114" s="151" t="s">
        <v>940</v>
      </c>
      <c r="H114" s="152">
        <v>9.256</v>
      </c>
      <c r="I114" s="153"/>
      <c r="L114" s="149"/>
      <c r="M114" s="154"/>
      <c r="T114" s="155"/>
      <c r="AT114" s="150" t="s">
        <v>193</v>
      </c>
      <c r="AU114" s="150" t="s">
        <v>87</v>
      </c>
      <c r="AV114" s="12" t="s">
        <v>87</v>
      </c>
      <c r="AW114" s="12" t="s">
        <v>36</v>
      </c>
      <c r="AX114" s="12" t="s">
        <v>77</v>
      </c>
      <c r="AY114" s="150" t="s">
        <v>177</v>
      </c>
    </row>
    <row r="115" spans="2:51" s="12" customFormat="1" ht="11.25">
      <c r="B115" s="149"/>
      <c r="D115" s="142" t="s">
        <v>193</v>
      </c>
      <c r="E115" s="150" t="s">
        <v>3</v>
      </c>
      <c r="F115" s="151" t="s">
        <v>941</v>
      </c>
      <c r="H115" s="152">
        <v>18.48</v>
      </c>
      <c r="I115" s="153"/>
      <c r="L115" s="149"/>
      <c r="M115" s="154"/>
      <c r="T115" s="155"/>
      <c r="AT115" s="150" t="s">
        <v>193</v>
      </c>
      <c r="AU115" s="150" t="s">
        <v>87</v>
      </c>
      <c r="AV115" s="12" t="s">
        <v>87</v>
      </c>
      <c r="AW115" s="12" t="s">
        <v>36</v>
      </c>
      <c r="AX115" s="12" t="s">
        <v>77</v>
      </c>
      <c r="AY115" s="150" t="s">
        <v>177</v>
      </c>
    </row>
    <row r="116" spans="2:51" s="12" customFormat="1" ht="11.25">
      <c r="B116" s="149"/>
      <c r="D116" s="142" t="s">
        <v>193</v>
      </c>
      <c r="E116" s="150" t="s">
        <v>3</v>
      </c>
      <c r="F116" s="151" t="s">
        <v>942</v>
      </c>
      <c r="H116" s="152">
        <v>22.165</v>
      </c>
      <c r="I116" s="153"/>
      <c r="L116" s="149"/>
      <c r="M116" s="154"/>
      <c r="T116" s="155"/>
      <c r="AT116" s="150" t="s">
        <v>193</v>
      </c>
      <c r="AU116" s="150" t="s">
        <v>87</v>
      </c>
      <c r="AV116" s="12" t="s">
        <v>87</v>
      </c>
      <c r="AW116" s="12" t="s">
        <v>36</v>
      </c>
      <c r="AX116" s="12" t="s">
        <v>77</v>
      </c>
      <c r="AY116" s="150" t="s">
        <v>177</v>
      </c>
    </row>
    <row r="117" spans="2:51" s="15" customFormat="1" ht="11.25">
      <c r="B117" s="169"/>
      <c r="D117" s="142" t="s">
        <v>193</v>
      </c>
      <c r="E117" s="170" t="s">
        <v>3</v>
      </c>
      <c r="F117" s="171" t="s">
        <v>201</v>
      </c>
      <c r="H117" s="172">
        <v>67.537</v>
      </c>
      <c r="I117" s="173"/>
      <c r="L117" s="169"/>
      <c r="M117" s="174"/>
      <c r="T117" s="175"/>
      <c r="AT117" s="170" t="s">
        <v>193</v>
      </c>
      <c r="AU117" s="170" t="s">
        <v>87</v>
      </c>
      <c r="AV117" s="15" t="s">
        <v>185</v>
      </c>
      <c r="AW117" s="15" t="s">
        <v>36</v>
      </c>
      <c r="AX117" s="15" t="s">
        <v>85</v>
      </c>
      <c r="AY117" s="170" t="s">
        <v>177</v>
      </c>
    </row>
    <row r="118" spans="2:65" s="1" customFormat="1" ht="33" customHeight="1">
      <c r="B118" s="128"/>
      <c r="C118" s="129" t="s">
        <v>185</v>
      </c>
      <c r="D118" s="129" t="s">
        <v>180</v>
      </c>
      <c r="E118" s="130" t="s">
        <v>585</v>
      </c>
      <c r="F118" s="131" t="s">
        <v>586</v>
      </c>
      <c r="G118" s="132" t="s">
        <v>183</v>
      </c>
      <c r="H118" s="133">
        <v>0.237</v>
      </c>
      <c r="I118" s="134"/>
      <c r="J118" s="135">
        <f>ROUND(I118*H118,2)</f>
        <v>0</v>
      </c>
      <c r="K118" s="131" t="s">
        <v>184</v>
      </c>
      <c r="L118" s="33"/>
      <c r="M118" s="136" t="s">
        <v>3</v>
      </c>
      <c r="N118" s="137" t="s">
        <v>48</v>
      </c>
      <c r="P118" s="138">
        <f>O118*H118</f>
        <v>0</v>
      </c>
      <c r="Q118" s="138">
        <v>0.019536</v>
      </c>
      <c r="R118" s="138">
        <f>Q118*H118</f>
        <v>0.004630032</v>
      </c>
      <c r="S118" s="138">
        <v>0</v>
      </c>
      <c r="T118" s="139">
        <f>S118*H118</f>
        <v>0</v>
      </c>
      <c r="AR118" s="140" t="s">
        <v>185</v>
      </c>
      <c r="AT118" s="140" t="s">
        <v>180</v>
      </c>
      <c r="AU118" s="140" t="s">
        <v>87</v>
      </c>
      <c r="AY118" s="18" t="s">
        <v>177</v>
      </c>
      <c r="BE118" s="141">
        <f>IF(N118="základní",J118,0)</f>
        <v>0</v>
      </c>
      <c r="BF118" s="141">
        <f>IF(N118="snížená",J118,0)</f>
        <v>0</v>
      </c>
      <c r="BG118" s="141">
        <f>IF(N118="zákl. přenesená",J118,0)</f>
        <v>0</v>
      </c>
      <c r="BH118" s="141">
        <f>IF(N118="sníž. přenesená",J118,0)</f>
        <v>0</v>
      </c>
      <c r="BI118" s="141">
        <f>IF(N118="nulová",J118,0)</f>
        <v>0</v>
      </c>
      <c r="BJ118" s="18" t="s">
        <v>85</v>
      </c>
      <c r="BK118" s="141">
        <f>ROUND(I118*H118,2)</f>
        <v>0</v>
      </c>
      <c r="BL118" s="18" t="s">
        <v>185</v>
      </c>
      <c r="BM118" s="140" t="s">
        <v>943</v>
      </c>
    </row>
    <row r="119" spans="2:47" s="1" customFormat="1" ht="19.5">
      <c r="B119" s="33"/>
      <c r="D119" s="142" t="s">
        <v>187</v>
      </c>
      <c r="F119" s="143" t="s">
        <v>588</v>
      </c>
      <c r="I119" s="144"/>
      <c r="L119" s="33"/>
      <c r="M119" s="145"/>
      <c r="T119" s="54"/>
      <c r="AT119" s="18" t="s">
        <v>187</v>
      </c>
      <c r="AU119" s="18" t="s">
        <v>87</v>
      </c>
    </row>
    <row r="120" spans="2:47" s="1" customFormat="1" ht="11.25">
      <c r="B120" s="33"/>
      <c r="D120" s="146" t="s">
        <v>189</v>
      </c>
      <c r="F120" s="147" t="s">
        <v>589</v>
      </c>
      <c r="I120" s="144"/>
      <c r="L120" s="33"/>
      <c r="M120" s="145"/>
      <c r="T120" s="54"/>
      <c r="AT120" s="18" t="s">
        <v>189</v>
      </c>
      <c r="AU120" s="18" t="s">
        <v>87</v>
      </c>
    </row>
    <row r="121" spans="2:47" s="1" customFormat="1" ht="78">
      <c r="B121" s="33"/>
      <c r="D121" s="142" t="s">
        <v>191</v>
      </c>
      <c r="F121" s="148" t="s">
        <v>590</v>
      </c>
      <c r="I121" s="144"/>
      <c r="L121" s="33"/>
      <c r="M121" s="145"/>
      <c r="T121" s="54"/>
      <c r="AT121" s="18" t="s">
        <v>191</v>
      </c>
      <c r="AU121" s="18" t="s">
        <v>87</v>
      </c>
    </row>
    <row r="122" spans="2:65" s="1" customFormat="1" ht="24.2" customHeight="1">
      <c r="B122" s="128"/>
      <c r="C122" s="179" t="s">
        <v>200</v>
      </c>
      <c r="D122" s="179" t="s">
        <v>484</v>
      </c>
      <c r="E122" s="180" t="s">
        <v>591</v>
      </c>
      <c r="F122" s="181" t="s">
        <v>592</v>
      </c>
      <c r="G122" s="182" t="s">
        <v>183</v>
      </c>
      <c r="H122" s="183">
        <v>0.249</v>
      </c>
      <c r="I122" s="184"/>
      <c r="J122" s="185">
        <f>ROUND(I122*H122,2)</f>
        <v>0</v>
      </c>
      <c r="K122" s="181" t="s">
        <v>184</v>
      </c>
      <c r="L122" s="186"/>
      <c r="M122" s="187" t="s">
        <v>3</v>
      </c>
      <c r="N122" s="188" t="s">
        <v>48</v>
      </c>
      <c r="P122" s="138">
        <f>O122*H122</f>
        <v>0</v>
      </c>
      <c r="Q122" s="138">
        <v>1</v>
      </c>
      <c r="R122" s="138">
        <f>Q122*H122</f>
        <v>0.249</v>
      </c>
      <c r="S122" s="138">
        <v>0</v>
      </c>
      <c r="T122" s="139">
        <f>S122*H122</f>
        <v>0</v>
      </c>
      <c r="AR122" s="140" t="s">
        <v>248</v>
      </c>
      <c r="AT122" s="140" t="s">
        <v>484</v>
      </c>
      <c r="AU122" s="140" t="s">
        <v>87</v>
      </c>
      <c r="AY122" s="18" t="s">
        <v>177</v>
      </c>
      <c r="BE122" s="141">
        <f>IF(N122="základní",J122,0)</f>
        <v>0</v>
      </c>
      <c r="BF122" s="141">
        <f>IF(N122="snížená",J122,0)</f>
        <v>0</v>
      </c>
      <c r="BG122" s="141">
        <f>IF(N122="zákl. přenesená",J122,0)</f>
        <v>0</v>
      </c>
      <c r="BH122" s="141">
        <f>IF(N122="sníž. přenesená",J122,0)</f>
        <v>0</v>
      </c>
      <c r="BI122" s="141">
        <f>IF(N122="nulová",J122,0)</f>
        <v>0</v>
      </c>
      <c r="BJ122" s="18" t="s">
        <v>85</v>
      </c>
      <c r="BK122" s="141">
        <f>ROUND(I122*H122,2)</f>
        <v>0</v>
      </c>
      <c r="BL122" s="18" t="s">
        <v>185</v>
      </c>
      <c r="BM122" s="140" t="s">
        <v>944</v>
      </c>
    </row>
    <row r="123" spans="2:47" s="1" customFormat="1" ht="11.25">
      <c r="B123" s="33"/>
      <c r="D123" s="142" t="s">
        <v>187</v>
      </c>
      <c r="F123" s="143" t="s">
        <v>594</v>
      </c>
      <c r="I123" s="144"/>
      <c r="L123" s="33"/>
      <c r="M123" s="145"/>
      <c r="T123" s="54"/>
      <c r="AT123" s="18" t="s">
        <v>187</v>
      </c>
      <c r="AU123" s="18" t="s">
        <v>87</v>
      </c>
    </row>
    <row r="124" spans="2:51" s="13" customFormat="1" ht="11.25">
      <c r="B124" s="156"/>
      <c r="D124" s="142" t="s">
        <v>193</v>
      </c>
      <c r="E124" s="157" t="s">
        <v>3</v>
      </c>
      <c r="F124" s="158" t="s">
        <v>937</v>
      </c>
      <c r="H124" s="157" t="s">
        <v>3</v>
      </c>
      <c r="I124" s="159"/>
      <c r="L124" s="156"/>
      <c r="M124" s="160"/>
      <c r="T124" s="161"/>
      <c r="AT124" s="157" t="s">
        <v>193</v>
      </c>
      <c r="AU124" s="157" t="s">
        <v>87</v>
      </c>
      <c r="AV124" s="13" t="s">
        <v>85</v>
      </c>
      <c r="AW124" s="13" t="s">
        <v>36</v>
      </c>
      <c r="AX124" s="13" t="s">
        <v>77</v>
      </c>
      <c r="AY124" s="157" t="s">
        <v>177</v>
      </c>
    </row>
    <row r="125" spans="2:51" s="13" customFormat="1" ht="11.25">
      <c r="B125" s="156"/>
      <c r="D125" s="142" t="s">
        <v>193</v>
      </c>
      <c r="E125" s="157" t="s">
        <v>3</v>
      </c>
      <c r="F125" s="158" t="s">
        <v>595</v>
      </c>
      <c r="H125" s="157" t="s">
        <v>3</v>
      </c>
      <c r="I125" s="159"/>
      <c r="L125" s="156"/>
      <c r="M125" s="160"/>
      <c r="T125" s="161"/>
      <c r="AT125" s="157" t="s">
        <v>193</v>
      </c>
      <c r="AU125" s="157" t="s">
        <v>87</v>
      </c>
      <c r="AV125" s="13" t="s">
        <v>85</v>
      </c>
      <c r="AW125" s="13" t="s">
        <v>36</v>
      </c>
      <c r="AX125" s="13" t="s">
        <v>77</v>
      </c>
      <c r="AY125" s="157" t="s">
        <v>177</v>
      </c>
    </row>
    <row r="126" spans="2:51" s="12" customFormat="1" ht="11.25">
      <c r="B126" s="149"/>
      <c r="D126" s="142" t="s">
        <v>193</v>
      </c>
      <c r="E126" s="150" t="s">
        <v>3</v>
      </c>
      <c r="F126" s="151" t="s">
        <v>945</v>
      </c>
      <c r="H126" s="152">
        <v>0.237</v>
      </c>
      <c r="I126" s="153"/>
      <c r="L126" s="149"/>
      <c r="M126" s="154"/>
      <c r="T126" s="155"/>
      <c r="AT126" s="150" t="s">
        <v>193</v>
      </c>
      <c r="AU126" s="150" t="s">
        <v>87</v>
      </c>
      <c r="AV126" s="12" t="s">
        <v>87</v>
      </c>
      <c r="AW126" s="12" t="s">
        <v>36</v>
      </c>
      <c r="AX126" s="12" t="s">
        <v>77</v>
      </c>
      <c r="AY126" s="150" t="s">
        <v>177</v>
      </c>
    </row>
    <row r="127" spans="2:51" s="15" customFormat="1" ht="11.25">
      <c r="B127" s="169"/>
      <c r="D127" s="142" t="s">
        <v>193</v>
      </c>
      <c r="E127" s="170" t="s">
        <v>3</v>
      </c>
      <c r="F127" s="171" t="s">
        <v>201</v>
      </c>
      <c r="H127" s="172">
        <v>0.237</v>
      </c>
      <c r="I127" s="173"/>
      <c r="L127" s="169"/>
      <c r="M127" s="174"/>
      <c r="T127" s="175"/>
      <c r="AT127" s="170" t="s">
        <v>193</v>
      </c>
      <c r="AU127" s="170" t="s">
        <v>87</v>
      </c>
      <c r="AV127" s="15" t="s">
        <v>185</v>
      </c>
      <c r="AW127" s="15" t="s">
        <v>36</v>
      </c>
      <c r="AX127" s="15" t="s">
        <v>85</v>
      </c>
      <c r="AY127" s="170" t="s">
        <v>177</v>
      </c>
    </row>
    <row r="128" spans="2:51" s="12" customFormat="1" ht="11.25">
      <c r="B128" s="149"/>
      <c r="D128" s="142" t="s">
        <v>193</v>
      </c>
      <c r="F128" s="151" t="s">
        <v>946</v>
      </c>
      <c r="H128" s="152">
        <v>0.249</v>
      </c>
      <c r="I128" s="153"/>
      <c r="L128" s="149"/>
      <c r="M128" s="154"/>
      <c r="T128" s="155"/>
      <c r="AT128" s="150" t="s">
        <v>193</v>
      </c>
      <c r="AU128" s="150" t="s">
        <v>87</v>
      </c>
      <c r="AV128" s="12" t="s">
        <v>87</v>
      </c>
      <c r="AW128" s="12" t="s">
        <v>4</v>
      </c>
      <c r="AX128" s="12" t="s">
        <v>85</v>
      </c>
      <c r="AY128" s="150" t="s">
        <v>177</v>
      </c>
    </row>
    <row r="129" spans="2:65" s="1" customFormat="1" ht="24.2" customHeight="1">
      <c r="B129" s="128"/>
      <c r="C129" s="129" t="s">
        <v>233</v>
      </c>
      <c r="D129" s="129" t="s">
        <v>180</v>
      </c>
      <c r="E129" s="130" t="s">
        <v>947</v>
      </c>
      <c r="F129" s="131" t="s">
        <v>948</v>
      </c>
      <c r="G129" s="132" t="s">
        <v>183</v>
      </c>
      <c r="H129" s="133">
        <v>0.362</v>
      </c>
      <c r="I129" s="134"/>
      <c r="J129" s="135">
        <f>ROUND(I129*H129,2)</f>
        <v>0</v>
      </c>
      <c r="K129" s="131" t="s">
        <v>184</v>
      </c>
      <c r="L129" s="33"/>
      <c r="M129" s="136" t="s">
        <v>3</v>
      </c>
      <c r="N129" s="137" t="s">
        <v>48</v>
      </c>
      <c r="P129" s="138">
        <f>O129*H129</f>
        <v>0</v>
      </c>
      <c r="Q129" s="138">
        <v>1.09</v>
      </c>
      <c r="R129" s="138">
        <f>Q129*H129</f>
        <v>0.39458000000000004</v>
      </c>
      <c r="S129" s="138">
        <v>0</v>
      </c>
      <c r="T129" s="139">
        <f>S129*H129</f>
        <v>0</v>
      </c>
      <c r="AR129" s="140" t="s">
        <v>185</v>
      </c>
      <c r="AT129" s="140" t="s">
        <v>180</v>
      </c>
      <c r="AU129" s="140" t="s">
        <v>87</v>
      </c>
      <c r="AY129" s="18" t="s">
        <v>177</v>
      </c>
      <c r="BE129" s="141">
        <f>IF(N129="základní",J129,0)</f>
        <v>0</v>
      </c>
      <c r="BF129" s="141">
        <f>IF(N129="snížená",J129,0)</f>
        <v>0</v>
      </c>
      <c r="BG129" s="141">
        <f>IF(N129="zákl. přenesená",J129,0)</f>
        <v>0</v>
      </c>
      <c r="BH129" s="141">
        <f>IF(N129="sníž. přenesená",J129,0)</f>
        <v>0</v>
      </c>
      <c r="BI129" s="141">
        <f>IF(N129="nulová",J129,0)</f>
        <v>0</v>
      </c>
      <c r="BJ129" s="18" t="s">
        <v>85</v>
      </c>
      <c r="BK129" s="141">
        <f>ROUND(I129*H129,2)</f>
        <v>0</v>
      </c>
      <c r="BL129" s="18" t="s">
        <v>185</v>
      </c>
      <c r="BM129" s="140" t="s">
        <v>949</v>
      </c>
    </row>
    <row r="130" spans="2:47" s="1" customFormat="1" ht="19.5">
      <c r="B130" s="33"/>
      <c r="D130" s="142" t="s">
        <v>187</v>
      </c>
      <c r="F130" s="143" t="s">
        <v>950</v>
      </c>
      <c r="I130" s="144"/>
      <c r="L130" s="33"/>
      <c r="M130" s="145"/>
      <c r="T130" s="54"/>
      <c r="AT130" s="18" t="s">
        <v>187</v>
      </c>
      <c r="AU130" s="18" t="s">
        <v>87</v>
      </c>
    </row>
    <row r="131" spans="2:47" s="1" customFormat="1" ht="11.25">
      <c r="B131" s="33"/>
      <c r="D131" s="146" t="s">
        <v>189</v>
      </c>
      <c r="F131" s="147" t="s">
        <v>951</v>
      </c>
      <c r="I131" s="144"/>
      <c r="L131" s="33"/>
      <c r="M131" s="145"/>
      <c r="T131" s="54"/>
      <c r="AT131" s="18" t="s">
        <v>189</v>
      </c>
      <c r="AU131" s="18" t="s">
        <v>87</v>
      </c>
    </row>
    <row r="132" spans="2:47" s="1" customFormat="1" ht="58.5">
      <c r="B132" s="33"/>
      <c r="D132" s="142" t="s">
        <v>191</v>
      </c>
      <c r="F132" s="148" t="s">
        <v>952</v>
      </c>
      <c r="I132" s="144"/>
      <c r="L132" s="33"/>
      <c r="M132" s="145"/>
      <c r="T132" s="54"/>
      <c r="AT132" s="18" t="s">
        <v>191</v>
      </c>
      <c r="AU132" s="18" t="s">
        <v>87</v>
      </c>
    </row>
    <row r="133" spans="2:51" s="13" customFormat="1" ht="11.25">
      <c r="B133" s="156"/>
      <c r="D133" s="142" t="s">
        <v>193</v>
      </c>
      <c r="E133" s="157" t="s">
        <v>3</v>
      </c>
      <c r="F133" s="158" t="s">
        <v>929</v>
      </c>
      <c r="H133" s="157" t="s">
        <v>3</v>
      </c>
      <c r="I133" s="159"/>
      <c r="L133" s="156"/>
      <c r="M133" s="160"/>
      <c r="T133" s="161"/>
      <c r="AT133" s="157" t="s">
        <v>193</v>
      </c>
      <c r="AU133" s="157" t="s">
        <v>87</v>
      </c>
      <c r="AV133" s="13" t="s">
        <v>85</v>
      </c>
      <c r="AW133" s="13" t="s">
        <v>36</v>
      </c>
      <c r="AX133" s="13" t="s">
        <v>77</v>
      </c>
      <c r="AY133" s="157" t="s">
        <v>177</v>
      </c>
    </row>
    <row r="134" spans="2:51" s="13" customFormat="1" ht="11.25">
      <c r="B134" s="156"/>
      <c r="D134" s="142" t="s">
        <v>193</v>
      </c>
      <c r="E134" s="157" t="s">
        <v>3</v>
      </c>
      <c r="F134" s="158" t="s">
        <v>953</v>
      </c>
      <c r="H134" s="157" t="s">
        <v>3</v>
      </c>
      <c r="I134" s="159"/>
      <c r="L134" s="156"/>
      <c r="M134" s="160"/>
      <c r="T134" s="161"/>
      <c r="AT134" s="157" t="s">
        <v>193</v>
      </c>
      <c r="AU134" s="157" t="s">
        <v>87</v>
      </c>
      <c r="AV134" s="13" t="s">
        <v>85</v>
      </c>
      <c r="AW134" s="13" t="s">
        <v>36</v>
      </c>
      <c r="AX134" s="13" t="s">
        <v>77</v>
      </c>
      <c r="AY134" s="157" t="s">
        <v>177</v>
      </c>
    </row>
    <row r="135" spans="2:51" s="12" customFormat="1" ht="11.25">
      <c r="B135" s="149"/>
      <c r="D135" s="142" t="s">
        <v>193</v>
      </c>
      <c r="E135" s="150" t="s">
        <v>3</v>
      </c>
      <c r="F135" s="151" t="s">
        <v>954</v>
      </c>
      <c r="H135" s="152">
        <v>0.035</v>
      </c>
      <c r="I135" s="153"/>
      <c r="L135" s="149"/>
      <c r="M135" s="154"/>
      <c r="T135" s="155"/>
      <c r="AT135" s="150" t="s">
        <v>193</v>
      </c>
      <c r="AU135" s="150" t="s">
        <v>87</v>
      </c>
      <c r="AV135" s="12" t="s">
        <v>87</v>
      </c>
      <c r="AW135" s="12" t="s">
        <v>36</v>
      </c>
      <c r="AX135" s="12" t="s">
        <v>77</v>
      </c>
      <c r="AY135" s="150" t="s">
        <v>177</v>
      </c>
    </row>
    <row r="136" spans="2:51" s="13" customFormat="1" ht="11.25">
      <c r="B136" s="156"/>
      <c r="D136" s="142" t="s">
        <v>193</v>
      </c>
      <c r="E136" s="157" t="s">
        <v>3</v>
      </c>
      <c r="F136" s="158" t="s">
        <v>955</v>
      </c>
      <c r="H136" s="157" t="s">
        <v>3</v>
      </c>
      <c r="I136" s="159"/>
      <c r="L136" s="156"/>
      <c r="M136" s="160"/>
      <c r="T136" s="161"/>
      <c r="AT136" s="157" t="s">
        <v>193</v>
      </c>
      <c r="AU136" s="157" t="s">
        <v>87</v>
      </c>
      <c r="AV136" s="13" t="s">
        <v>85</v>
      </c>
      <c r="AW136" s="13" t="s">
        <v>36</v>
      </c>
      <c r="AX136" s="13" t="s">
        <v>77</v>
      </c>
      <c r="AY136" s="157" t="s">
        <v>177</v>
      </c>
    </row>
    <row r="137" spans="2:51" s="12" customFormat="1" ht="11.25">
      <c r="B137" s="149"/>
      <c r="D137" s="142" t="s">
        <v>193</v>
      </c>
      <c r="E137" s="150" t="s">
        <v>3</v>
      </c>
      <c r="F137" s="151" t="s">
        <v>956</v>
      </c>
      <c r="H137" s="152">
        <v>0.117</v>
      </c>
      <c r="I137" s="153"/>
      <c r="L137" s="149"/>
      <c r="M137" s="154"/>
      <c r="T137" s="155"/>
      <c r="AT137" s="150" t="s">
        <v>193</v>
      </c>
      <c r="AU137" s="150" t="s">
        <v>87</v>
      </c>
      <c r="AV137" s="12" t="s">
        <v>87</v>
      </c>
      <c r="AW137" s="12" t="s">
        <v>36</v>
      </c>
      <c r="AX137" s="12" t="s">
        <v>77</v>
      </c>
      <c r="AY137" s="150" t="s">
        <v>177</v>
      </c>
    </row>
    <row r="138" spans="2:51" s="12" customFormat="1" ht="11.25">
      <c r="B138" s="149"/>
      <c r="D138" s="142" t="s">
        <v>193</v>
      </c>
      <c r="E138" s="150" t="s">
        <v>3</v>
      </c>
      <c r="F138" s="151" t="s">
        <v>957</v>
      </c>
      <c r="H138" s="152">
        <v>0.121</v>
      </c>
      <c r="I138" s="153"/>
      <c r="L138" s="149"/>
      <c r="M138" s="154"/>
      <c r="T138" s="155"/>
      <c r="AT138" s="150" t="s">
        <v>193</v>
      </c>
      <c r="AU138" s="150" t="s">
        <v>87</v>
      </c>
      <c r="AV138" s="12" t="s">
        <v>87</v>
      </c>
      <c r="AW138" s="12" t="s">
        <v>36</v>
      </c>
      <c r="AX138" s="12" t="s">
        <v>77</v>
      </c>
      <c r="AY138" s="150" t="s">
        <v>177</v>
      </c>
    </row>
    <row r="139" spans="2:51" s="13" customFormat="1" ht="11.25">
      <c r="B139" s="156"/>
      <c r="D139" s="142" t="s">
        <v>193</v>
      </c>
      <c r="E139" s="157" t="s">
        <v>3</v>
      </c>
      <c r="F139" s="158" t="s">
        <v>937</v>
      </c>
      <c r="H139" s="157" t="s">
        <v>3</v>
      </c>
      <c r="I139" s="159"/>
      <c r="L139" s="156"/>
      <c r="M139" s="160"/>
      <c r="T139" s="161"/>
      <c r="AT139" s="157" t="s">
        <v>193</v>
      </c>
      <c r="AU139" s="157" t="s">
        <v>87</v>
      </c>
      <c r="AV139" s="13" t="s">
        <v>85</v>
      </c>
      <c r="AW139" s="13" t="s">
        <v>36</v>
      </c>
      <c r="AX139" s="13" t="s">
        <v>77</v>
      </c>
      <c r="AY139" s="157" t="s">
        <v>177</v>
      </c>
    </row>
    <row r="140" spans="2:51" s="13" customFormat="1" ht="11.25">
      <c r="B140" s="156"/>
      <c r="D140" s="142" t="s">
        <v>193</v>
      </c>
      <c r="E140" s="157" t="s">
        <v>3</v>
      </c>
      <c r="F140" s="158" t="s">
        <v>955</v>
      </c>
      <c r="H140" s="157" t="s">
        <v>3</v>
      </c>
      <c r="I140" s="159"/>
      <c r="L140" s="156"/>
      <c r="M140" s="160"/>
      <c r="T140" s="161"/>
      <c r="AT140" s="157" t="s">
        <v>193</v>
      </c>
      <c r="AU140" s="157" t="s">
        <v>87</v>
      </c>
      <c r="AV140" s="13" t="s">
        <v>85</v>
      </c>
      <c r="AW140" s="13" t="s">
        <v>36</v>
      </c>
      <c r="AX140" s="13" t="s">
        <v>77</v>
      </c>
      <c r="AY140" s="157" t="s">
        <v>177</v>
      </c>
    </row>
    <row r="141" spans="2:51" s="12" customFormat="1" ht="11.25">
      <c r="B141" s="149"/>
      <c r="D141" s="142" t="s">
        <v>193</v>
      </c>
      <c r="E141" s="150" t="s">
        <v>3</v>
      </c>
      <c r="F141" s="151" t="s">
        <v>958</v>
      </c>
      <c r="H141" s="152">
        <v>0.089</v>
      </c>
      <c r="I141" s="153"/>
      <c r="L141" s="149"/>
      <c r="M141" s="154"/>
      <c r="T141" s="155"/>
      <c r="AT141" s="150" t="s">
        <v>193</v>
      </c>
      <c r="AU141" s="150" t="s">
        <v>87</v>
      </c>
      <c r="AV141" s="12" t="s">
        <v>87</v>
      </c>
      <c r="AW141" s="12" t="s">
        <v>36</v>
      </c>
      <c r="AX141" s="12" t="s">
        <v>77</v>
      </c>
      <c r="AY141" s="150" t="s">
        <v>177</v>
      </c>
    </row>
    <row r="142" spans="2:51" s="15" customFormat="1" ht="11.25">
      <c r="B142" s="169"/>
      <c r="D142" s="142" t="s">
        <v>193</v>
      </c>
      <c r="E142" s="170" t="s">
        <v>3</v>
      </c>
      <c r="F142" s="171" t="s">
        <v>201</v>
      </c>
      <c r="H142" s="172">
        <v>0.362</v>
      </c>
      <c r="I142" s="173"/>
      <c r="L142" s="169"/>
      <c r="M142" s="174"/>
      <c r="T142" s="175"/>
      <c r="AT142" s="170" t="s">
        <v>193</v>
      </c>
      <c r="AU142" s="170" t="s">
        <v>87</v>
      </c>
      <c r="AV142" s="15" t="s">
        <v>185</v>
      </c>
      <c r="AW142" s="15" t="s">
        <v>36</v>
      </c>
      <c r="AX142" s="15" t="s">
        <v>85</v>
      </c>
      <c r="AY142" s="170" t="s">
        <v>177</v>
      </c>
    </row>
    <row r="143" spans="2:65" s="1" customFormat="1" ht="24.2" customHeight="1">
      <c r="B143" s="128"/>
      <c r="C143" s="129" t="s">
        <v>241</v>
      </c>
      <c r="D143" s="129" t="s">
        <v>180</v>
      </c>
      <c r="E143" s="130" t="s">
        <v>612</v>
      </c>
      <c r="F143" s="131" t="s">
        <v>959</v>
      </c>
      <c r="G143" s="132" t="s">
        <v>476</v>
      </c>
      <c r="H143" s="133">
        <v>86.9</v>
      </c>
      <c r="I143" s="134"/>
      <c r="J143" s="135">
        <f>ROUND(I143*H143,2)</f>
        <v>0</v>
      </c>
      <c r="K143" s="131" t="s">
        <v>244</v>
      </c>
      <c r="L143" s="33"/>
      <c r="M143" s="136" t="s">
        <v>3</v>
      </c>
      <c r="N143" s="137" t="s">
        <v>48</v>
      </c>
      <c r="P143" s="138">
        <f>O143*H143</f>
        <v>0</v>
      </c>
      <c r="Q143" s="138">
        <v>0.0002</v>
      </c>
      <c r="R143" s="138">
        <f>Q143*H143</f>
        <v>0.017380000000000003</v>
      </c>
      <c r="S143" s="138">
        <v>0</v>
      </c>
      <c r="T143" s="139">
        <f>S143*H143</f>
        <v>0</v>
      </c>
      <c r="AR143" s="140" t="s">
        <v>185</v>
      </c>
      <c r="AT143" s="140" t="s">
        <v>180</v>
      </c>
      <c r="AU143" s="140" t="s">
        <v>87</v>
      </c>
      <c r="AY143" s="18" t="s">
        <v>177</v>
      </c>
      <c r="BE143" s="141">
        <f>IF(N143="základní",J143,0)</f>
        <v>0</v>
      </c>
      <c r="BF143" s="141">
        <f>IF(N143="snížená",J143,0)</f>
        <v>0</v>
      </c>
      <c r="BG143" s="141">
        <f>IF(N143="zákl. přenesená",J143,0)</f>
        <v>0</v>
      </c>
      <c r="BH143" s="141">
        <f>IF(N143="sníž. přenesená",J143,0)</f>
        <v>0</v>
      </c>
      <c r="BI143" s="141">
        <f>IF(N143="nulová",J143,0)</f>
        <v>0</v>
      </c>
      <c r="BJ143" s="18" t="s">
        <v>85</v>
      </c>
      <c r="BK143" s="141">
        <f>ROUND(I143*H143,2)</f>
        <v>0</v>
      </c>
      <c r="BL143" s="18" t="s">
        <v>185</v>
      </c>
      <c r="BM143" s="140" t="s">
        <v>960</v>
      </c>
    </row>
    <row r="144" spans="2:47" s="1" customFormat="1" ht="11.25">
      <c r="B144" s="33"/>
      <c r="D144" s="142" t="s">
        <v>187</v>
      </c>
      <c r="F144" s="143" t="s">
        <v>615</v>
      </c>
      <c r="I144" s="144"/>
      <c r="L144" s="33"/>
      <c r="M144" s="145"/>
      <c r="T144" s="54"/>
      <c r="AT144" s="18" t="s">
        <v>187</v>
      </c>
      <c r="AU144" s="18" t="s">
        <v>87</v>
      </c>
    </row>
    <row r="145" spans="2:47" s="1" customFormat="1" ht="78">
      <c r="B145" s="33"/>
      <c r="D145" s="142" t="s">
        <v>191</v>
      </c>
      <c r="F145" s="148" t="s">
        <v>603</v>
      </c>
      <c r="I145" s="144"/>
      <c r="L145" s="33"/>
      <c r="M145" s="145"/>
      <c r="T145" s="54"/>
      <c r="AT145" s="18" t="s">
        <v>191</v>
      </c>
      <c r="AU145" s="18" t="s">
        <v>87</v>
      </c>
    </row>
    <row r="146" spans="2:51" s="13" customFormat="1" ht="11.25">
      <c r="B146" s="156"/>
      <c r="D146" s="142" t="s">
        <v>193</v>
      </c>
      <c r="E146" s="157" t="s">
        <v>3</v>
      </c>
      <c r="F146" s="158" t="s">
        <v>961</v>
      </c>
      <c r="H146" s="157" t="s">
        <v>3</v>
      </c>
      <c r="I146" s="159"/>
      <c r="L146" s="156"/>
      <c r="M146" s="160"/>
      <c r="T146" s="161"/>
      <c r="AT146" s="157" t="s">
        <v>193</v>
      </c>
      <c r="AU146" s="157" t="s">
        <v>87</v>
      </c>
      <c r="AV146" s="13" t="s">
        <v>85</v>
      </c>
      <c r="AW146" s="13" t="s">
        <v>36</v>
      </c>
      <c r="AX146" s="13" t="s">
        <v>77</v>
      </c>
      <c r="AY146" s="157" t="s">
        <v>177</v>
      </c>
    </row>
    <row r="147" spans="2:51" s="12" customFormat="1" ht="11.25">
      <c r="B147" s="149"/>
      <c r="D147" s="142" t="s">
        <v>193</v>
      </c>
      <c r="E147" s="150" t="s">
        <v>3</v>
      </c>
      <c r="F147" s="151" t="s">
        <v>962</v>
      </c>
      <c r="H147" s="152">
        <v>55.3</v>
      </c>
      <c r="I147" s="153"/>
      <c r="L147" s="149"/>
      <c r="M147" s="154"/>
      <c r="T147" s="155"/>
      <c r="AT147" s="150" t="s">
        <v>193</v>
      </c>
      <c r="AU147" s="150" t="s">
        <v>87</v>
      </c>
      <c r="AV147" s="12" t="s">
        <v>87</v>
      </c>
      <c r="AW147" s="12" t="s">
        <v>36</v>
      </c>
      <c r="AX147" s="12" t="s">
        <v>77</v>
      </c>
      <c r="AY147" s="150" t="s">
        <v>177</v>
      </c>
    </row>
    <row r="148" spans="2:51" s="12" customFormat="1" ht="11.25">
      <c r="B148" s="149"/>
      <c r="D148" s="142" t="s">
        <v>193</v>
      </c>
      <c r="E148" s="150" t="s">
        <v>3</v>
      </c>
      <c r="F148" s="151" t="s">
        <v>963</v>
      </c>
      <c r="H148" s="152">
        <v>31.6</v>
      </c>
      <c r="I148" s="153"/>
      <c r="L148" s="149"/>
      <c r="M148" s="154"/>
      <c r="T148" s="155"/>
      <c r="AT148" s="150" t="s">
        <v>193</v>
      </c>
      <c r="AU148" s="150" t="s">
        <v>87</v>
      </c>
      <c r="AV148" s="12" t="s">
        <v>87</v>
      </c>
      <c r="AW148" s="12" t="s">
        <v>36</v>
      </c>
      <c r="AX148" s="12" t="s">
        <v>77</v>
      </c>
      <c r="AY148" s="150" t="s">
        <v>177</v>
      </c>
    </row>
    <row r="149" spans="2:51" s="15" customFormat="1" ht="11.25">
      <c r="B149" s="169"/>
      <c r="D149" s="142" t="s">
        <v>193</v>
      </c>
      <c r="E149" s="170" t="s">
        <v>3</v>
      </c>
      <c r="F149" s="171" t="s">
        <v>201</v>
      </c>
      <c r="H149" s="172">
        <v>86.9</v>
      </c>
      <c r="I149" s="173"/>
      <c r="L149" s="169"/>
      <c r="M149" s="174"/>
      <c r="T149" s="175"/>
      <c r="AT149" s="170" t="s">
        <v>193</v>
      </c>
      <c r="AU149" s="170" t="s">
        <v>87</v>
      </c>
      <c r="AV149" s="15" t="s">
        <v>185</v>
      </c>
      <c r="AW149" s="15" t="s">
        <v>36</v>
      </c>
      <c r="AX149" s="15" t="s">
        <v>85</v>
      </c>
      <c r="AY149" s="170" t="s">
        <v>177</v>
      </c>
    </row>
    <row r="150" spans="2:65" s="1" customFormat="1" ht="24.2" customHeight="1">
      <c r="B150" s="128"/>
      <c r="C150" s="129" t="s">
        <v>248</v>
      </c>
      <c r="D150" s="129" t="s">
        <v>180</v>
      </c>
      <c r="E150" s="130" t="s">
        <v>618</v>
      </c>
      <c r="F150" s="131" t="s">
        <v>619</v>
      </c>
      <c r="G150" s="132" t="s">
        <v>476</v>
      </c>
      <c r="H150" s="133">
        <v>28.48</v>
      </c>
      <c r="I150" s="134"/>
      <c r="J150" s="135">
        <f>ROUND(I150*H150,2)</f>
        <v>0</v>
      </c>
      <c r="K150" s="131" t="s">
        <v>184</v>
      </c>
      <c r="L150" s="33"/>
      <c r="M150" s="136" t="s">
        <v>3</v>
      </c>
      <c r="N150" s="137" t="s">
        <v>48</v>
      </c>
      <c r="P150" s="138">
        <f>O150*H150</f>
        <v>0</v>
      </c>
      <c r="Q150" s="138">
        <v>0.00306</v>
      </c>
      <c r="R150" s="138">
        <f>Q150*H150</f>
        <v>0.0871488</v>
      </c>
      <c r="S150" s="138">
        <v>0</v>
      </c>
      <c r="T150" s="139">
        <f>S150*H150</f>
        <v>0</v>
      </c>
      <c r="AR150" s="140" t="s">
        <v>185</v>
      </c>
      <c r="AT150" s="140" t="s">
        <v>180</v>
      </c>
      <c r="AU150" s="140" t="s">
        <v>87</v>
      </c>
      <c r="AY150" s="18" t="s">
        <v>177</v>
      </c>
      <c r="BE150" s="141">
        <f>IF(N150="základní",J150,0)</f>
        <v>0</v>
      </c>
      <c r="BF150" s="141">
        <f>IF(N150="snížená",J150,0)</f>
        <v>0</v>
      </c>
      <c r="BG150" s="141">
        <f>IF(N150="zákl. přenesená",J150,0)</f>
        <v>0</v>
      </c>
      <c r="BH150" s="141">
        <f>IF(N150="sníž. přenesená",J150,0)</f>
        <v>0</v>
      </c>
      <c r="BI150" s="141">
        <f>IF(N150="nulová",J150,0)</f>
        <v>0</v>
      </c>
      <c r="BJ150" s="18" t="s">
        <v>85</v>
      </c>
      <c r="BK150" s="141">
        <f>ROUND(I150*H150,2)</f>
        <v>0</v>
      </c>
      <c r="BL150" s="18" t="s">
        <v>185</v>
      </c>
      <c r="BM150" s="140" t="s">
        <v>964</v>
      </c>
    </row>
    <row r="151" spans="2:47" s="1" customFormat="1" ht="11.25">
      <c r="B151" s="33"/>
      <c r="D151" s="142" t="s">
        <v>187</v>
      </c>
      <c r="F151" s="143" t="s">
        <v>621</v>
      </c>
      <c r="I151" s="144"/>
      <c r="L151" s="33"/>
      <c r="M151" s="145"/>
      <c r="T151" s="54"/>
      <c r="AT151" s="18" t="s">
        <v>187</v>
      </c>
      <c r="AU151" s="18" t="s">
        <v>87</v>
      </c>
    </row>
    <row r="152" spans="2:47" s="1" customFormat="1" ht="11.25">
      <c r="B152" s="33"/>
      <c r="D152" s="146" t="s">
        <v>189</v>
      </c>
      <c r="F152" s="147" t="s">
        <v>622</v>
      </c>
      <c r="I152" s="144"/>
      <c r="L152" s="33"/>
      <c r="M152" s="145"/>
      <c r="T152" s="54"/>
      <c r="AT152" s="18" t="s">
        <v>189</v>
      </c>
      <c r="AU152" s="18" t="s">
        <v>87</v>
      </c>
    </row>
    <row r="153" spans="2:47" s="1" customFormat="1" ht="78">
      <c r="B153" s="33"/>
      <c r="D153" s="142" t="s">
        <v>191</v>
      </c>
      <c r="F153" s="148" t="s">
        <v>603</v>
      </c>
      <c r="I153" s="144"/>
      <c r="L153" s="33"/>
      <c r="M153" s="145"/>
      <c r="T153" s="54"/>
      <c r="AT153" s="18" t="s">
        <v>191</v>
      </c>
      <c r="AU153" s="18" t="s">
        <v>87</v>
      </c>
    </row>
    <row r="154" spans="2:51" s="13" customFormat="1" ht="11.25">
      <c r="B154" s="156"/>
      <c r="D154" s="142" t="s">
        <v>193</v>
      </c>
      <c r="E154" s="157" t="s">
        <v>3</v>
      </c>
      <c r="F154" s="158" t="s">
        <v>937</v>
      </c>
      <c r="H154" s="157" t="s">
        <v>3</v>
      </c>
      <c r="I154" s="159"/>
      <c r="L154" s="156"/>
      <c r="M154" s="160"/>
      <c r="T154" s="161"/>
      <c r="AT154" s="157" t="s">
        <v>193</v>
      </c>
      <c r="AU154" s="157" t="s">
        <v>87</v>
      </c>
      <c r="AV154" s="13" t="s">
        <v>85</v>
      </c>
      <c r="AW154" s="13" t="s">
        <v>36</v>
      </c>
      <c r="AX154" s="13" t="s">
        <v>77</v>
      </c>
      <c r="AY154" s="157" t="s">
        <v>177</v>
      </c>
    </row>
    <row r="155" spans="2:51" s="12" customFormat="1" ht="11.25">
      <c r="B155" s="149"/>
      <c r="D155" s="142" t="s">
        <v>193</v>
      </c>
      <c r="E155" s="150" t="s">
        <v>3</v>
      </c>
      <c r="F155" s="151" t="s">
        <v>965</v>
      </c>
      <c r="H155" s="152">
        <v>28.48</v>
      </c>
      <c r="I155" s="153"/>
      <c r="L155" s="149"/>
      <c r="M155" s="154"/>
      <c r="T155" s="155"/>
      <c r="AT155" s="150" t="s">
        <v>193</v>
      </c>
      <c r="AU155" s="150" t="s">
        <v>87</v>
      </c>
      <c r="AV155" s="12" t="s">
        <v>87</v>
      </c>
      <c r="AW155" s="12" t="s">
        <v>36</v>
      </c>
      <c r="AX155" s="12" t="s">
        <v>85</v>
      </c>
      <c r="AY155" s="150" t="s">
        <v>177</v>
      </c>
    </row>
    <row r="156" spans="2:65" s="1" customFormat="1" ht="21.75" customHeight="1">
      <c r="B156" s="128"/>
      <c r="C156" s="129" t="s">
        <v>252</v>
      </c>
      <c r="D156" s="129" t="s">
        <v>180</v>
      </c>
      <c r="E156" s="130" t="s">
        <v>966</v>
      </c>
      <c r="F156" s="131" t="s">
        <v>967</v>
      </c>
      <c r="G156" s="132" t="s">
        <v>332</v>
      </c>
      <c r="H156" s="133">
        <v>1.505</v>
      </c>
      <c r="I156" s="134"/>
      <c r="J156" s="135">
        <f>ROUND(I156*H156,2)</f>
        <v>0</v>
      </c>
      <c r="K156" s="131" t="s">
        <v>184</v>
      </c>
      <c r="L156" s="33"/>
      <c r="M156" s="136" t="s">
        <v>3</v>
      </c>
      <c r="N156" s="137" t="s">
        <v>48</v>
      </c>
      <c r="P156" s="138">
        <f>O156*H156</f>
        <v>0</v>
      </c>
      <c r="Q156" s="138">
        <v>0.26723</v>
      </c>
      <c r="R156" s="138">
        <f>Q156*H156</f>
        <v>0.40218115</v>
      </c>
      <c r="S156" s="138">
        <v>0</v>
      </c>
      <c r="T156" s="139">
        <f>S156*H156</f>
        <v>0</v>
      </c>
      <c r="AR156" s="140" t="s">
        <v>185</v>
      </c>
      <c r="AT156" s="140" t="s">
        <v>180</v>
      </c>
      <c r="AU156" s="140" t="s">
        <v>87</v>
      </c>
      <c r="AY156" s="18" t="s">
        <v>177</v>
      </c>
      <c r="BE156" s="141">
        <f>IF(N156="základní",J156,0)</f>
        <v>0</v>
      </c>
      <c r="BF156" s="141">
        <f>IF(N156="snížená",J156,0)</f>
        <v>0</v>
      </c>
      <c r="BG156" s="141">
        <f>IF(N156="zákl. přenesená",J156,0)</f>
        <v>0</v>
      </c>
      <c r="BH156" s="141">
        <f>IF(N156="sníž. přenesená",J156,0)</f>
        <v>0</v>
      </c>
      <c r="BI156" s="141">
        <f>IF(N156="nulová",J156,0)</f>
        <v>0</v>
      </c>
      <c r="BJ156" s="18" t="s">
        <v>85</v>
      </c>
      <c r="BK156" s="141">
        <f>ROUND(I156*H156,2)</f>
        <v>0</v>
      </c>
      <c r="BL156" s="18" t="s">
        <v>185</v>
      </c>
      <c r="BM156" s="140" t="s">
        <v>968</v>
      </c>
    </row>
    <row r="157" spans="2:47" s="1" customFormat="1" ht="19.5">
      <c r="B157" s="33"/>
      <c r="D157" s="142" t="s">
        <v>187</v>
      </c>
      <c r="F157" s="143" t="s">
        <v>969</v>
      </c>
      <c r="I157" s="144"/>
      <c r="L157" s="33"/>
      <c r="M157" s="145"/>
      <c r="T157" s="54"/>
      <c r="AT157" s="18" t="s">
        <v>187</v>
      </c>
      <c r="AU157" s="18" t="s">
        <v>87</v>
      </c>
    </row>
    <row r="158" spans="2:47" s="1" customFormat="1" ht="11.25">
      <c r="B158" s="33"/>
      <c r="D158" s="146" t="s">
        <v>189</v>
      </c>
      <c r="F158" s="147" t="s">
        <v>970</v>
      </c>
      <c r="I158" s="144"/>
      <c r="L158" s="33"/>
      <c r="M158" s="145"/>
      <c r="T158" s="54"/>
      <c r="AT158" s="18" t="s">
        <v>189</v>
      </c>
      <c r="AU158" s="18" t="s">
        <v>87</v>
      </c>
    </row>
    <row r="159" spans="2:47" s="1" customFormat="1" ht="87.75">
      <c r="B159" s="33"/>
      <c r="D159" s="142" t="s">
        <v>191</v>
      </c>
      <c r="F159" s="148" t="s">
        <v>971</v>
      </c>
      <c r="I159" s="144"/>
      <c r="L159" s="33"/>
      <c r="M159" s="145"/>
      <c r="T159" s="54"/>
      <c r="AT159" s="18" t="s">
        <v>191</v>
      </c>
      <c r="AU159" s="18" t="s">
        <v>87</v>
      </c>
    </row>
    <row r="160" spans="2:51" s="13" customFormat="1" ht="11.25">
      <c r="B160" s="156"/>
      <c r="D160" s="142" t="s">
        <v>193</v>
      </c>
      <c r="E160" s="157" t="s">
        <v>3</v>
      </c>
      <c r="F160" s="158" t="s">
        <v>929</v>
      </c>
      <c r="H160" s="157" t="s">
        <v>3</v>
      </c>
      <c r="I160" s="159"/>
      <c r="L160" s="156"/>
      <c r="M160" s="160"/>
      <c r="T160" s="161"/>
      <c r="AT160" s="157" t="s">
        <v>193</v>
      </c>
      <c r="AU160" s="157" t="s">
        <v>87</v>
      </c>
      <c r="AV160" s="13" t="s">
        <v>85</v>
      </c>
      <c r="AW160" s="13" t="s">
        <v>36</v>
      </c>
      <c r="AX160" s="13" t="s">
        <v>77</v>
      </c>
      <c r="AY160" s="157" t="s">
        <v>177</v>
      </c>
    </row>
    <row r="161" spans="2:51" s="12" customFormat="1" ht="11.25">
      <c r="B161" s="149"/>
      <c r="D161" s="142" t="s">
        <v>193</v>
      </c>
      <c r="E161" s="150" t="s">
        <v>3</v>
      </c>
      <c r="F161" s="151" t="s">
        <v>972</v>
      </c>
      <c r="H161" s="152">
        <v>1.505</v>
      </c>
      <c r="I161" s="153"/>
      <c r="L161" s="149"/>
      <c r="M161" s="154"/>
      <c r="T161" s="155"/>
      <c r="AT161" s="150" t="s">
        <v>193</v>
      </c>
      <c r="AU161" s="150" t="s">
        <v>87</v>
      </c>
      <c r="AV161" s="12" t="s">
        <v>87</v>
      </c>
      <c r="AW161" s="12" t="s">
        <v>36</v>
      </c>
      <c r="AX161" s="12" t="s">
        <v>85</v>
      </c>
      <c r="AY161" s="150" t="s">
        <v>177</v>
      </c>
    </row>
    <row r="162" spans="2:63" s="11" customFormat="1" ht="22.9" customHeight="1">
      <c r="B162" s="116"/>
      <c r="D162" s="117" t="s">
        <v>76</v>
      </c>
      <c r="E162" s="126" t="s">
        <v>233</v>
      </c>
      <c r="F162" s="126" t="s">
        <v>625</v>
      </c>
      <c r="I162" s="119"/>
      <c r="J162" s="127">
        <f>BK162</f>
        <v>0</v>
      </c>
      <c r="L162" s="116"/>
      <c r="M162" s="121"/>
      <c r="P162" s="122">
        <f>SUM(P163:P178)</f>
        <v>0</v>
      </c>
      <c r="R162" s="122">
        <f>SUM(R163:R178)</f>
        <v>1.0827086399999999</v>
      </c>
      <c r="T162" s="123">
        <f>SUM(T163:T178)</f>
        <v>0</v>
      </c>
      <c r="AR162" s="117" t="s">
        <v>85</v>
      </c>
      <c r="AT162" s="124" t="s">
        <v>76</v>
      </c>
      <c r="AU162" s="124" t="s">
        <v>85</v>
      </c>
      <c r="AY162" s="117" t="s">
        <v>177</v>
      </c>
      <c r="BK162" s="125">
        <f>SUM(BK163:BK178)</f>
        <v>0</v>
      </c>
    </row>
    <row r="163" spans="2:65" s="1" customFormat="1" ht="16.5" customHeight="1">
      <c r="B163" s="128"/>
      <c r="C163" s="129" t="s">
        <v>258</v>
      </c>
      <c r="D163" s="129" t="s">
        <v>180</v>
      </c>
      <c r="E163" s="130" t="s">
        <v>626</v>
      </c>
      <c r="F163" s="131" t="s">
        <v>627</v>
      </c>
      <c r="G163" s="132" t="s">
        <v>332</v>
      </c>
      <c r="H163" s="133">
        <v>17.22</v>
      </c>
      <c r="I163" s="134"/>
      <c r="J163" s="135">
        <f>ROUND(I163*H163,2)</f>
        <v>0</v>
      </c>
      <c r="K163" s="131" t="s">
        <v>184</v>
      </c>
      <c r="L163" s="33"/>
      <c r="M163" s="136" t="s">
        <v>3</v>
      </c>
      <c r="N163" s="137" t="s">
        <v>48</v>
      </c>
      <c r="P163" s="138">
        <f>O163*H163</f>
        <v>0</v>
      </c>
      <c r="Q163" s="138">
        <v>0.0426</v>
      </c>
      <c r="R163" s="138">
        <f>Q163*H163</f>
        <v>0.7335719999999999</v>
      </c>
      <c r="S163" s="138">
        <v>0</v>
      </c>
      <c r="T163" s="139">
        <f>S163*H163</f>
        <v>0</v>
      </c>
      <c r="AR163" s="140" t="s">
        <v>185</v>
      </c>
      <c r="AT163" s="140" t="s">
        <v>180</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973</v>
      </c>
    </row>
    <row r="164" spans="2:47" s="1" customFormat="1" ht="11.25">
      <c r="B164" s="33"/>
      <c r="D164" s="142" t="s">
        <v>187</v>
      </c>
      <c r="F164" s="143" t="s">
        <v>629</v>
      </c>
      <c r="I164" s="144"/>
      <c r="L164" s="33"/>
      <c r="M164" s="145"/>
      <c r="T164" s="54"/>
      <c r="AT164" s="18" t="s">
        <v>187</v>
      </c>
      <c r="AU164" s="18" t="s">
        <v>87</v>
      </c>
    </row>
    <row r="165" spans="2:47" s="1" customFormat="1" ht="11.25">
      <c r="B165" s="33"/>
      <c r="D165" s="146" t="s">
        <v>189</v>
      </c>
      <c r="F165" s="147" t="s">
        <v>630</v>
      </c>
      <c r="I165" s="144"/>
      <c r="L165" s="33"/>
      <c r="M165" s="145"/>
      <c r="T165" s="54"/>
      <c r="AT165" s="18" t="s">
        <v>189</v>
      </c>
      <c r="AU165" s="18" t="s">
        <v>87</v>
      </c>
    </row>
    <row r="166" spans="2:47" s="1" customFormat="1" ht="48.75">
      <c r="B166" s="33"/>
      <c r="D166" s="142" t="s">
        <v>191</v>
      </c>
      <c r="F166" s="148" t="s">
        <v>631</v>
      </c>
      <c r="I166" s="144"/>
      <c r="L166" s="33"/>
      <c r="M166" s="145"/>
      <c r="T166" s="54"/>
      <c r="AT166" s="18" t="s">
        <v>191</v>
      </c>
      <c r="AU166" s="18" t="s">
        <v>87</v>
      </c>
    </row>
    <row r="167" spans="2:51" s="12" customFormat="1" ht="11.25">
      <c r="B167" s="149"/>
      <c r="D167" s="142" t="s">
        <v>193</v>
      </c>
      <c r="E167" s="150" t="s">
        <v>3</v>
      </c>
      <c r="F167" s="151" t="s">
        <v>974</v>
      </c>
      <c r="H167" s="152">
        <v>5.7</v>
      </c>
      <c r="I167" s="153"/>
      <c r="L167" s="149"/>
      <c r="M167" s="154"/>
      <c r="T167" s="155"/>
      <c r="AT167" s="150" t="s">
        <v>193</v>
      </c>
      <c r="AU167" s="150" t="s">
        <v>87</v>
      </c>
      <c r="AV167" s="12" t="s">
        <v>87</v>
      </c>
      <c r="AW167" s="12" t="s">
        <v>36</v>
      </c>
      <c r="AX167" s="12" t="s">
        <v>77</v>
      </c>
      <c r="AY167" s="150" t="s">
        <v>177</v>
      </c>
    </row>
    <row r="168" spans="2:51" s="12" customFormat="1" ht="11.25">
      <c r="B168" s="149"/>
      <c r="D168" s="142" t="s">
        <v>193</v>
      </c>
      <c r="E168" s="150" t="s">
        <v>3</v>
      </c>
      <c r="F168" s="151" t="s">
        <v>975</v>
      </c>
      <c r="H168" s="152">
        <v>11.52</v>
      </c>
      <c r="I168" s="153"/>
      <c r="L168" s="149"/>
      <c r="M168" s="154"/>
      <c r="T168" s="155"/>
      <c r="AT168" s="150" t="s">
        <v>193</v>
      </c>
      <c r="AU168" s="150" t="s">
        <v>87</v>
      </c>
      <c r="AV168" s="12" t="s">
        <v>87</v>
      </c>
      <c r="AW168" s="12" t="s">
        <v>36</v>
      </c>
      <c r="AX168" s="12" t="s">
        <v>77</v>
      </c>
      <c r="AY168" s="150" t="s">
        <v>177</v>
      </c>
    </row>
    <row r="169" spans="2:51" s="15" customFormat="1" ht="11.25">
      <c r="B169" s="169"/>
      <c r="D169" s="142" t="s">
        <v>193</v>
      </c>
      <c r="E169" s="170" t="s">
        <v>3</v>
      </c>
      <c r="F169" s="171" t="s">
        <v>201</v>
      </c>
      <c r="H169" s="172">
        <v>17.22</v>
      </c>
      <c r="I169" s="173"/>
      <c r="L169" s="169"/>
      <c r="M169" s="174"/>
      <c r="T169" s="175"/>
      <c r="AT169" s="170" t="s">
        <v>193</v>
      </c>
      <c r="AU169" s="170" t="s">
        <v>87</v>
      </c>
      <c r="AV169" s="15" t="s">
        <v>185</v>
      </c>
      <c r="AW169" s="15" t="s">
        <v>36</v>
      </c>
      <c r="AX169" s="15" t="s">
        <v>85</v>
      </c>
      <c r="AY169" s="170" t="s">
        <v>177</v>
      </c>
    </row>
    <row r="170" spans="2:65" s="1" customFormat="1" ht="16.5" customHeight="1">
      <c r="B170" s="128"/>
      <c r="C170" s="129" t="s">
        <v>265</v>
      </c>
      <c r="D170" s="129" t="s">
        <v>180</v>
      </c>
      <c r="E170" s="130" t="s">
        <v>633</v>
      </c>
      <c r="F170" s="131" t="s">
        <v>634</v>
      </c>
      <c r="G170" s="132" t="s">
        <v>332</v>
      </c>
      <c r="H170" s="133">
        <v>17.22</v>
      </c>
      <c r="I170" s="134"/>
      <c r="J170" s="135">
        <f>ROUND(I170*H170,2)</f>
        <v>0</v>
      </c>
      <c r="K170" s="131" t="s">
        <v>184</v>
      </c>
      <c r="L170" s="33"/>
      <c r="M170" s="136" t="s">
        <v>3</v>
      </c>
      <c r="N170" s="137" t="s">
        <v>48</v>
      </c>
      <c r="P170" s="138">
        <f>O170*H170</f>
        <v>0</v>
      </c>
      <c r="Q170" s="138">
        <v>0.000852</v>
      </c>
      <c r="R170" s="138">
        <f>Q170*H170</f>
        <v>0.01467144</v>
      </c>
      <c r="S170" s="138">
        <v>0</v>
      </c>
      <c r="T170" s="139">
        <f>S170*H170</f>
        <v>0</v>
      </c>
      <c r="AR170" s="140" t="s">
        <v>185</v>
      </c>
      <c r="AT170" s="140" t="s">
        <v>180</v>
      </c>
      <c r="AU170" s="140" t="s">
        <v>87</v>
      </c>
      <c r="AY170" s="18" t="s">
        <v>177</v>
      </c>
      <c r="BE170" s="141">
        <f>IF(N170="základní",J170,0)</f>
        <v>0</v>
      </c>
      <c r="BF170" s="141">
        <f>IF(N170="snížená",J170,0)</f>
        <v>0</v>
      </c>
      <c r="BG170" s="141">
        <f>IF(N170="zákl. přenesená",J170,0)</f>
        <v>0</v>
      </c>
      <c r="BH170" s="141">
        <f>IF(N170="sníž. přenesená",J170,0)</f>
        <v>0</v>
      </c>
      <c r="BI170" s="141">
        <f>IF(N170="nulová",J170,0)</f>
        <v>0</v>
      </c>
      <c r="BJ170" s="18" t="s">
        <v>85</v>
      </c>
      <c r="BK170" s="141">
        <f>ROUND(I170*H170,2)</f>
        <v>0</v>
      </c>
      <c r="BL170" s="18" t="s">
        <v>185</v>
      </c>
      <c r="BM170" s="140" t="s">
        <v>976</v>
      </c>
    </row>
    <row r="171" spans="2:47" s="1" customFormat="1" ht="19.5">
      <c r="B171" s="33"/>
      <c r="D171" s="142" t="s">
        <v>187</v>
      </c>
      <c r="F171" s="143" t="s">
        <v>636</v>
      </c>
      <c r="I171" s="144"/>
      <c r="L171" s="33"/>
      <c r="M171" s="145"/>
      <c r="T171" s="54"/>
      <c r="AT171" s="18" t="s">
        <v>187</v>
      </c>
      <c r="AU171" s="18" t="s">
        <v>87</v>
      </c>
    </row>
    <row r="172" spans="2:47" s="1" customFormat="1" ht="11.25">
      <c r="B172" s="33"/>
      <c r="D172" s="146" t="s">
        <v>189</v>
      </c>
      <c r="F172" s="147" t="s">
        <v>637</v>
      </c>
      <c r="I172" s="144"/>
      <c r="L172" s="33"/>
      <c r="M172" s="145"/>
      <c r="T172" s="54"/>
      <c r="AT172" s="18" t="s">
        <v>189</v>
      </c>
      <c r="AU172" s="18" t="s">
        <v>87</v>
      </c>
    </row>
    <row r="173" spans="2:47" s="1" customFormat="1" ht="29.25">
      <c r="B173" s="33"/>
      <c r="D173" s="142" t="s">
        <v>191</v>
      </c>
      <c r="F173" s="148" t="s">
        <v>638</v>
      </c>
      <c r="I173" s="144"/>
      <c r="L173" s="33"/>
      <c r="M173" s="145"/>
      <c r="T173" s="54"/>
      <c r="AT173" s="18" t="s">
        <v>191</v>
      </c>
      <c r="AU173" s="18" t="s">
        <v>87</v>
      </c>
    </row>
    <row r="174" spans="2:65" s="1" customFormat="1" ht="24.2" customHeight="1">
      <c r="B174" s="128"/>
      <c r="C174" s="129" t="s">
        <v>271</v>
      </c>
      <c r="D174" s="129" t="s">
        <v>180</v>
      </c>
      <c r="E174" s="130" t="s">
        <v>977</v>
      </c>
      <c r="F174" s="131" t="s">
        <v>978</v>
      </c>
      <c r="G174" s="132" t="s">
        <v>476</v>
      </c>
      <c r="H174" s="133">
        <v>16.2</v>
      </c>
      <c r="I174" s="134"/>
      <c r="J174" s="135">
        <f>ROUND(I174*H174,2)</f>
        <v>0</v>
      </c>
      <c r="K174" s="131" t="s">
        <v>184</v>
      </c>
      <c r="L174" s="33"/>
      <c r="M174" s="136" t="s">
        <v>3</v>
      </c>
      <c r="N174" s="137" t="s">
        <v>48</v>
      </c>
      <c r="P174" s="138">
        <f>O174*H174</f>
        <v>0</v>
      </c>
      <c r="Q174" s="138">
        <v>0.020646</v>
      </c>
      <c r="R174" s="138">
        <f>Q174*H174</f>
        <v>0.3344652</v>
      </c>
      <c r="S174" s="138">
        <v>0</v>
      </c>
      <c r="T174" s="139">
        <f>S174*H174</f>
        <v>0</v>
      </c>
      <c r="AR174" s="140" t="s">
        <v>185</v>
      </c>
      <c r="AT174" s="140" t="s">
        <v>180</v>
      </c>
      <c r="AU174" s="140" t="s">
        <v>87</v>
      </c>
      <c r="AY174" s="18" t="s">
        <v>177</v>
      </c>
      <c r="BE174" s="141">
        <f>IF(N174="základní",J174,0)</f>
        <v>0</v>
      </c>
      <c r="BF174" s="141">
        <f>IF(N174="snížená",J174,0)</f>
        <v>0</v>
      </c>
      <c r="BG174" s="141">
        <f>IF(N174="zákl. přenesená",J174,0)</f>
        <v>0</v>
      </c>
      <c r="BH174" s="141">
        <f>IF(N174="sníž. přenesená",J174,0)</f>
        <v>0</v>
      </c>
      <c r="BI174" s="141">
        <f>IF(N174="nulová",J174,0)</f>
        <v>0</v>
      </c>
      <c r="BJ174" s="18" t="s">
        <v>85</v>
      </c>
      <c r="BK174" s="141">
        <f>ROUND(I174*H174,2)</f>
        <v>0</v>
      </c>
      <c r="BL174" s="18" t="s">
        <v>185</v>
      </c>
      <c r="BM174" s="140" t="s">
        <v>979</v>
      </c>
    </row>
    <row r="175" spans="2:47" s="1" customFormat="1" ht="19.5">
      <c r="B175" s="33"/>
      <c r="D175" s="142" t="s">
        <v>187</v>
      </c>
      <c r="F175" s="143" t="s">
        <v>980</v>
      </c>
      <c r="I175" s="144"/>
      <c r="L175" s="33"/>
      <c r="M175" s="145"/>
      <c r="T175" s="54"/>
      <c r="AT175" s="18" t="s">
        <v>187</v>
      </c>
      <c r="AU175" s="18" t="s">
        <v>87</v>
      </c>
    </row>
    <row r="176" spans="2:47" s="1" customFormat="1" ht="11.25">
      <c r="B176" s="33"/>
      <c r="D176" s="146" t="s">
        <v>189</v>
      </c>
      <c r="F176" s="147" t="s">
        <v>981</v>
      </c>
      <c r="I176" s="144"/>
      <c r="L176" s="33"/>
      <c r="M176" s="145"/>
      <c r="T176" s="54"/>
      <c r="AT176" s="18" t="s">
        <v>189</v>
      </c>
      <c r="AU176" s="18" t="s">
        <v>87</v>
      </c>
    </row>
    <row r="177" spans="2:51" s="13" customFormat="1" ht="11.25">
      <c r="B177" s="156"/>
      <c r="D177" s="142" t="s">
        <v>193</v>
      </c>
      <c r="E177" s="157" t="s">
        <v>3</v>
      </c>
      <c r="F177" s="158" t="s">
        <v>982</v>
      </c>
      <c r="H177" s="157" t="s">
        <v>3</v>
      </c>
      <c r="I177" s="159"/>
      <c r="L177" s="156"/>
      <c r="M177" s="160"/>
      <c r="T177" s="161"/>
      <c r="AT177" s="157" t="s">
        <v>193</v>
      </c>
      <c r="AU177" s="157" t="s">
        <v>87</v>
      </c>
      <c r="AV177" s="13" t="s">
        <v>85</v>
      </c>
      <c r="AW177" s="13" t="s">
        <v>36</v>
      </c>
      <c r="AX177" s="13" t="s">
        <v>77</v>
      </c>
      <c r="AY177" s="157" t="s">
        <v>177</v>
      </c>
    </row>
    <row r="178" spans="2:51" s="12" customFormat="1" ht="11.25">
      <c r="B178" s="149"/>
      <c r="D178" s="142" t="s">
        <v>193</v>
      </c>
      <c r="E178" s="150" t="s">
        <v>3</v>
      </c>
      <c r="F178" s="151" t="s">
        <v>983</v>
      </c>
      <c r="H178" s="152">
        <v>16.2</v>
      </c>
      <c r="I178" s="153"/>
      <c r="L178" s="149"/>
      <c r="M178" s="154"/>
      <c r="T178" s="155"/>
      <c r="AT178" s="150" t="s">
        <v>193</v>
      </c>
      <c r="AU178" s="150" t="s">
        <v>87</v>
      </c>
      <c r="AV178" s="12" t="s">
        <v>87</v>
      </c>
      <c r="AW178" s="12" t="s">
        <v>36</v>
      </c>
      <c r="AX178" s="12" t="s">
        <v>85</v>
      </c>
      <c r="AY178" s="150" t="s">
        <v>177</v>
      </c>
    </row>
    <row r="179" spans="2:63" s="11" customFormat="1" ht="22.9" customHeight="1">
      <c r="B179" s="116"/>
      <c r="D179" s="117" t="s">
        <v>76</v>
      </c>
      <c r="E179" s="126" t="s">
        <v>252</v>
      </c>
      <c r="F179" s="126" t="s">
        <v>329</v>
      </c>
      <c r="I179" s="119"/>
      <c r="J179" s="127">
        <f>BK179</f>
        <v>0</v>
      </c>
      <c r="L179" s="116"/>
      <c r="M179" s="121"/>
      <c r="P179" s="122">
        <f>SUM(P180:P404)</f>
        <v>0</v>
      </c>
      <c r="R179" s="122">
        <f>SUM(R180:R404)</f>
        <v>10.7230398594</v>
      </c>
      <c r="T179" s="123">
        <f>SUM(T180:T404)</f>
        <v>157.63397000000003</v>
      </c>
      <c r="AR179" s="117" t="s">
        <v>85</v>
      </c>
      <c r="AT179" s="124" t="s">
        <v>76</v>
      </c>
      <c r="AU179" s="124" t="s">
        <v>85</v>
      </c>
      <c r="AY179" s="117" t="s">
        <v>177</v>
      </c>
      <c r="BK179" s="125">
        <f>SUM(BK180:BK404)</f>
        <v>0</v>
      </c>
    </row>
    <row r="180" spans="2:65" s="1" customFormat="1" ht="33" customHeight="1">
      <c r="B180" s="128"/>
      <c r="C180" s="129" t="s">
        <v>277</v>
      </c>
      <c r="D180" s="129" t="s">
        <v>180</v>
      </c>
      <c r="E180" s="130" t="s">
        <v>647</v>
      </c>
      <c r="F180" s="131" t="s">
        <v>648</v>
      </c>
      <c r="G180" s="132" t="s">
        <v>332</v>
      </c>
      <c r="H180" s="133">
        <v>380</v>
      </c>
      <c r="I180" s="134"/>
      <c r="J180" s="135">
        <f>ROUND(I180*H180,2)</f>
        <v>0</v>
      </c>
      <c r="K180" s="131" t="s">
        <v>184</v>
      </c>
      <c r="L180" s="33"/>
      <c r="M180" s="136" t="s">
        <v>3</v>
      </c>
      <c r="N180" s="137" t="s">
        <v>48</v>
      </c>
      <c r="P180" s="138">
        <f>O180*H180</f>
        <v>0</v>
      </c>
      <c r="Q180" s="138">
        <v>0</v>
      </c>
      <c r="R180" s="138">
        <f>Q180*H180</f>
        <v>0</v>
      </c>
      <c r="S180" s="138">
        <v>0</v>
      </c>
      <c r="T180" s="139">
        <f>S180*H180</f>
        <v>0</v>
      </c>
      <c r="AR180" s="140" t="s">
        <v>185</v>
      </c>
      <c r="AT180" s="140" t="s">
        <v>180</v>
      </c>
      <c r="AU180" s="140" t="s">
        <v>87</v>
      </c>
      <c r="AY180" s="18" t="s">
        <v>177</v>
      </c>
      <c r="BE180" s="141">
        <f>IF(N180="základní",J180,0)</f>
        <v>0</v>
      </c>
      <c r="BF180" s="141">
        <f>IF(N180="snížená",J180,0)</f>
        <v>0</v>
      </c>
      <c r="BG180" s="141">
        <f>IF(N180="zákl. přenesená",J180,0)</f>
        <v>0</v>
      </c>
      <c r="BH180" s="141">
        <f>IF(N180="sníž. přenesená",J180,0)</f>
        <v>0</v>
      </c>
      <c r="BI180" s="141">
        <f>IF(N180="nulová",J180,0)</f>
        <v>0</v>
      </c>
      <c r="BJ180" s="18" t="s">
        <v>85</v>
      </c>
      <c r="BK180" s="141">
        <f>ROUND(I180*H180,2)</f>
        <v>0</v>
      </c>
      <c r="BL180" s="18" t="s">
        <v>185</v>
      </c>
      <c r="BM180" s="140" t="s">
        <v>984</v>
      </c>
    </row>
    <row r="181" spans="2:47" s="1" customFormat="1" ht="29.25">
      <c r="B181" s="33"/>
      <c r="D181" s="142" t="s">
        <v>187</v>
      </c>
      <c r="F181" s="143" t="s">
        <v>650</v>
      </c>
      <c r="I181" s="144"/>
      <c r="L181" s="33"/>
      <c r="M181" s="145"/>
      <c r="T181" s="54"/>
      <c r="AT181" s="18" t="s">
        <v>187</v>
      </c>
      <c r="AU181" s="18" t="s">
        <v>87</v>
      </c>
    </row>
    <row r="182" spans="2:47" s="1" customFormat="1" ht="11.25">
      <c r="B182" s="33"/>
      <c r="D182" s="146" t="s">
        <v>189</v>
      </c>
      <c r="F182" s="147" t="s">
        <v>651</v>
      </c>
      <c r="I182" s="144"/>
      <c r="L182" s="33"/>
      <c r="M182" s="145"/>
      <c r="T182" s="54"/>
      <c r="AT182" s="18" t="s">
        <v>189</v>
      </c>
      <c r="AU182" s="18" t="s">
        <v>87</v>
      </c>
    </row>
    <row r="183" spans="2:47" s="1" customFormat="1" ht="78">
      <c r="B183" s="33"/>
      <c r="D183" s="142" t="s">
        <v>191</v>
      </c>
      <c r="F183" s="148" t="s">
        <v>652</v>
      </c>
      <c r="I183" s="144"/>
      <c r="L183" s="33"/>
      <c r="M183" s="145"/>
      <c r="T183" s="54"/>
      <c r="AT183" s="18" t="s">
        <v>191</v>
      </c>
      <c r="AU183" s="18" t="s">
        <v>87</v>
      </c>
    </row>
    <row r="184" spans="2:51" s="12" customFormat="1" ht="11.25">
      <c r="B184" s="149"/>
      <c r="D184" s="142" t="s">
        <v>193</v>
      </c>
      <c r="E184" s="150" t="s">
        <v>3</v>
      </c>
      <c r="F184" s="151" t="s">
        <v>985</v>
      </c>
      <c r="H184" s="152">
        <v>380</v>
      </c>
      <c r="I184" s="153"/>
      <c r="L184" s="149"/>
      <c r="M184" s="154"/>
      <c r="T184" s="155"/>
      <c r="AT184" s="150" t="s">
        <v>193</v>
      </c>
      <c r="AU184" s="150" t="s">
        <v>87</v>
      </c>
      <c r="AV184" s="12" t="s">
        <v>87</v>
      </c>
      <c r="AW184" s="12" t="s">
        <v>36</v>
      </c>
      <c r="AX184" s="12" t="s">
        <v>85</v>
      </c>
      <c r="AY184" s="150" t="s">
        <v>177</v>
      </c>
    </row>
    <row r="185" spans="2:65" s="1" customFormat="1" ht="33" customHeight="1">
      <c r="B185" s="128"/>
      <c r="C185" s="129" t="s">
        <v>283</v>
      </c>
      <c r="D185" s="129" t="s">
        <v>180</v>
      </c>
      <c r="E185" s="130" t="s">
        <v>653</v>
      </c>
      <c r="F185" s="131" t="s">
        <v>654</v>
      </c>
      <c r="G185" s="132" t="s">
        <v>332</v>
      </c>
      <c r="H185" s="133">
        <v>11400</v>
      </c>
      <c r="I185" s="134"/>
      <c r="J185" s="135">
        <f>ROUND(I185*H185,2)</f>
        <v>0</v>
      </c>
      <c r="K185" s="131" t="s">
        <v>184</v>
      </c>
      <c r="L185" s="33"/>
      <c r="M185" s="136" t="s">
        <v>3</v>
      </c>
      <c r="N185" s="137" t="s">
        <v>48</v>
      </c>
      <c r="P185" s="138">
        <f>O185*H185</f>
        <v>0</v>
      </c>
      <c r="Q185" s="138">
        <v>0</v>
      </c>
      <c r="R185" s="138">
        <f>Q185*H185</f>
        <v>0</v>
      </c>
      <c r="S185" s="138">
        <v>0</v>
      </c>
      <c r="T185" s="139">
        <f>S185*H185</f>
        <v>0</v>
      </c>
      <c r="AR185" s="140" t="s">
        <v>185</v>
      </c>
      <c r="AT185" s="140" t="s">
        <v>180</v>
      </c>
      <c r="AU185" s="140" t="s">
        <v>87</v>
      </c>
      <c r="AY185" s="18" t="s">
        <v>177</v>
      </c>
      <c r="BE185" s="141">
        <f>IF(N185="základní",J185,0)</f>
        <v>0</v>
      </c>
      <c r="BF185" s="141">
        <f>IF(N185="snížená",J185,0)</f>
        <v>0</v>
      </c>
      <c r="BG185" s="141">
        <f>IF(N185="zákl. přenesená",J185,0)</f>
        <v>0</v>
      </c>
      <c r="BH185" s="141">
        <f>IF(N185="sníž. přenesená",J185,0)</f>
        <v>0</v>
      </c>
      <c r="BI185" s="141">
        <f>IF(N185="nulová",J185,0)</f>
        <v>0</v>
      </c>
      <c r="BJ185" s="18" t="s">
        <v>85</v>
      </c>
      <c r="BK185" s="141">
        <f>ROUND(I185*H185,2)</f>
        <v>0</v>
      </c>
      <c r="BL185" s="18" t="s">
        <v>185</v>
      </c>
      <c r="BM185" s="140" t="s">
        <v>986</v>
      </c>
    </row>
    <row r="186" spans="2:47" s="1" customFormat="1" ht="29.25">
      <c r="B186" s="33"/>
      <c r="D186" s="142" t="s">
        <v>187</v>
      </c>
      <c r="F186" s="143" t="s">
        <v>656</v>
      </c>
      <c r="I186" s="144"/>
      <c r="L186" s="33"/>
      <c r="M186" s="145"/>
      <c r="T186" s="54"/>
      <c r="AT186" s="18" t="s">
        <v>187</v>
      </c>
      <c r="AU186" s="18" t="s">
        <v>87</v>
      </c>
    </row>
    <row r="187" spans="2:47" s="1" customFormat="1" ht="11.25">
      <c r="B187" s="33"/>
      <c r="D187" s="146" t="s">
        <v>189</v>
      </c>
      <c r="F187" s="147" t="s">
        <v>657</v>
      </c>
      <c r="I187" s="144"/>
      <c r="L187" s="33"/>
      <c r="M187" s="145"/>
      <c r="T187" s="54"/>
      <c r="AT187" s="18" t="s">
        <v>189</v>
      </c>
      <c r="AU187" s="18" t="s">
        <v>87</v>
      </c>
    </row>
    <row r="188" spans="2:47" s="1" customFormat="1" ht="78">
      <c r="B188" s="33"/>
      <c r="D188" s="142" t="s">
        <v>191</v>
      </c>
      <c r="F188" s="148" t="s">
        <v>652</v>
      </c>
      <c r="I188" s="144"/>
      <c r="L188" s="33"/>
      <c r="M188" s="145"/>
      <c r="T188" s="54"/>
      <c r="AT188" s="18" t="s">
        <v>191</v>
      </c>
      <c r="AU188" s="18" t="s">
        <v>87</v>
      </c>
    </row>
    <row r="189" spans="2:51" s="12" customFormat="1" ht="11.25">
      <c r="B189" s="149"/>
      <c r="D189" s="142" t="s">
        <v>193</v>
      </c>
      <c r="E189" s="150" t="s">
        <v>3</v>
      </c>
      <c r="F189" s="151" t="s">
        <v>987</v>
      </c>
      <c r="H189" s="152">
        <v>11400</v>
      </c>
      <c r="I189" s="153"/>
      <c r="L189" s="149"/>
      <c r="M189" s="154"/>
      <c r="T189" s="155"/>
      <c r="AT189" s="150" t="s">
        <v>193</v>
      </c>
      <c r="AU189" s="150" t="s">
        <v>87</v>
      </c>
      <c r="AV189" s="12" t="s">
        <v>87</v>
      </c>
      <c r="AW189" s="12" t="s">
        <v>36</v>
      </c>
      <c r="AX189" s="12" t="s">
        <v>85</v>
      </c>
      <c r="AY189" s="150" t="s">
        <v>177</v>
      </c>
    </row>
    <row r="190" spans="2:65" s="1" customFormat="1" ht="33" customHeight="1">
      <c r="B190" s="128"/>
      <c r="C190" s="129" t="s">
        <v>9</v>
      </c>
      <c r="D190" s="129" t="s">
        <v>180</v>
      </c>
      <c r="E190" s="130" t="s">
        <v>659</v>
      </c>
      <c r="F190" s="131" t="s">
        <v>660</v>
      </c>
      <c r="G190" s="132" t="s">
        <v>332</v>
      </c>
      <c r="H190" s="133">
        <v>380</v>
      </c>
      <c r="I190" s="134"/>
      <c r="J190" s="135">
        <f>ROUND(I190*H190,2)</f>
        <v>0</v>
      </c>
      <c r="K190" s="131" t="s">
        <v>184</v>
      </c>
      <c r="L190" s="33"/>
      <c r="M190" s="136" t="s">
        <v>3</v>
      </c>
      <c r="N190" s="137" t="s">
        <v>48</v>
      </c>
      <c r="P190" s="138">
        <f>O190*H190</f>
        <v>0</v>
      </c>
      <c r="Q190" s="138">
        <v>0</v>
      </c>
      <c r="R190" s="138">
        <f>Q190*H190</f>
        <v>0</v>
      </c>
      <c r="S190" s="138">
        <v>0</v>
      </c>
      <c r="T190" s="139">
        <f>S190*H190</f>
        <v>0</v>
      </c>
      <c r="AR190" s="140" t="s">
        <v>185</v>
      </c>
      <c r="AT190" s="140" t="s">
        <v>180</v>
      </c>
      <c r="AU190" s="140" t="s">
        <v>87</v>
      </c>
      <c r="AY190" s="18" t="s">
        <v>177</v>
      </c>
      <c r="BE190" s="141">
        <f>IF(N190="základní",J190,0)</f>
        <v>0</v>
      </c>
      <c r="BF190" s="141">
        <f>IF(N190="snížená",J190,0)</f>
        <v>0</v>
      </c>
      <c r="BG190" s="141">
        <f>IF(N190="zákl. přenesená",J190,0)</f>
        <v>0</v>
      </c>
      <c r="BH190" s="141">
        <f>IF(N190="sníž. přenesená",J190,0)</f>
        <v>0</v>
      </c>
      <c r="BI190" s="141">
        <f>IF(N190="nulová",J190,0)</f>
        <v>0</v>
      </c>
      <c r="BJ190" s="18" t="s">
        <v>85</v>
      </c>
      <c r="BK190" s="141">
        <f>ROUND(I190*H190,2)</f>
        <v>0</v>
      </c>
      <c r="BL190" s="18" t="s">
        <v>185</v>
      </c>
      <c r="BM190" s="140" t="s">
        <v>988</v>
      </c>
    </row>
    <row r="191" spans="2:47" s="1" customFormat="1" ht="29.25">
      <c r="B191" s="33"/>
      <c r="D191" s="142" t="s">
        <v>187</v>
      </c>
      <c r="F191" s="143" t="s">
        <v>662</v>
      </c>
      <c r="I191" s="144"/>
      <c r="L191" s="33"/>
      <c r="M191" s="145"/>
      <c r="T191" s="54"/>
      <c r="AT191" s="18" t="s">
        <v>187</v>
      </c>
      <c r="AU191" s="18" t="s">
        <v>87</v>
      </c>
    </row>
    <row r="192" spans="2:47" s="1" customFormat="1" ht="11.25">
      <c r="B192" s="33"/>
      <c r="D192" s="146" t="s">
        <v>189</v>
      </c>
      <c r="F192" s="147" t="s">
        <v>663</v>
      </c>
      <c r="I192" s="144"/>
      <c r="L192" s="33"/>
      <c r="M192" s="145"/>
      <c r="T192" s="54"/>
      <c r="AT192" s="18" t="s">
        <v>189</v>
      </c>
      <c r="AU192" s="18" t="s">
        <v>87</v>
      </c>
    </row>
    <row r="193" spans="2:47" s="1" customFormat="1" ht="39">
      <c r="B193" s="33"/>
      <c r="D193" s="142" t="s">
        <v>191</v>
      </c>
      <c r="F193" s="148" t="s">
        <v>664</v>
      </c>
      <c r="I193" s="144"/>
      <c r="L193" s="33"/>
      <c r="M193" s="145"/>
      <c r="T193" s="54"/>
      <c r="AT193" s="18" t="s">
        <v>191</v>
      </c>
      <c r="AU193" s="18" t="s">
        <v>87</v>
      </c>
    </row>
    <row r="194" spans="2:65" s="1" customFormat="1" ht="16.5" customHeight="1">
      <c r="B194" s="128"/>
      <c r="C194" s="129" t="s">
        <v>237</v>
      </c>
      <c r="D194" s="129" t="s">
        <v>180</v>
      </c>
      <c r="E194" s="130" t="s">
        <v>665</v>
      </c>
      <c r="F194" s="131" t="s">
        <v>666</v>
      </c>
      <c r="G194" s="132" t="s">
        <v>332</v>
      </c>
      <c r="H194" s="133">
        <v>380</v>
      </c>
      <c r="I194" s="134"/>
      <c r="J194" s="135">
        <f>ROUND(I194*H194,2)</f>
        <v>0</v>
      </c>
      <c r="K194" s="131" t="s">
        <v>184</v>
      </c>
      <c r="L194" s="33"/>
      <c r="M194" s="136" t="s">
        <v>3</v>
      </c>
      <c r="N194" s="137" t="s">
        <v>48</v>
      </c>
      <c r="P194" s="138">
        <f>O194*H194</f>
        <v>0</v>
      </c>
      <c r="Q194" s="138">
        <v>0</v>
      </c>
      <c r="R194" s="138">
        <f>Q194*H194</f>
        <v>0</v>
      </c>
      <c r="S194" s="138">
        <v>0</v>
      </c>
      <c r="T194" s="139">
        <f>S194*H194</f>
        <v>0</v>
      </c>
      <c r="AR194" s="140" t="s">
        <v>185</v>
      </c>
      <c r="AT194" s="140" t="s">
        <v>180</v>
      </c>
      <c r="AU194" s="140" t="s">
        <v>87</v>
      </c>
      <c r="AY194" s="18" t="s">
        <v>177</v>
      </c>
      <c r="BE194" s="141">
        <f>IF(N194="základní",J194,0)</f>
        <v>0</v>
      </c>
      <c r="BF194" s="141">
        <f>IF(N194="snížená",J194,0)</f>
        <v>0</v>
      </c>
      <c r="BG194" s="141">
        <f>IF(N194="zákl. přenesená",J194,0)</f>
        <v>0</v>
      </c>
      <c r="BH194" s="141">
        <f>IF(N194="sníž. přenesená",J194,0)</f>
        <v>0</v>
      </c>
      <c r="BI194" s="141">
        <f>IF(N194="nulová",J194,0)</f>
        <v>0</v>
      </c>
      <c r="BJ194" s="18" t="s">
        <v>85</v>
      </c>
      <c r="BK194" s="141">
        <f>ROUND(I194*H194,2)</f>
        <v>0</v>
      </c>
      <c r="BL194" s="18" t="s">
        <v>185</v>
      </c>
      <c r="BM194" s="140" t="s">
        <v>989</v>
      </c>
    </row>
    <row r="195" spans="2:47" s="1" customFormat="1" ht="19.5">
      <c r="B195" s="33"/>
      <c r="D195" s="142" t="s">
        <v>187</v>
      </c>
      <c r="F195" s="143" t="s">
        <v>668</v>
      </c>
      <c r="I195" s="144"/>
      <c r="L195" s="33"/>
      <c r="M195" s="145"/>
      <c r="T195" s="54"/>
      <c r="AT195" s="18" t="s">
        <v>187</v>
      </c>
      <c r="AU195" s="18" t="s">
        <v>87</v>
      </c>
    </row>
    <row r="196" spans="2:47" s="1" customFormat="1" ht="11.25">
      <c r="B196" s="33"/>
      <c r="D196" s="146" t="s">
        <v>189</v>
      </c>
      <c r="F196" s="147" t="s">
        <v>669</v>
      </c>
      <c r="I196" s="144"/>
      <c r="L196" s="33"/>
      <c r="M196" s="145"/>
      <c r="T196" s="54"/>
      <c r="AT196" s="18" t="s">
        <v>189</v>
      </c>
      <c r="AU196" s="18" t="s">
        <v>87</v>
      </c>
    </row>
    <row r="197" spans="2:47" s="1" customFormat="1" ht="39">
      <c r="B197" s="33"/>
      <c r="D197" s="142" t="s">
        <v>191</v>
      </c>
      <c r="F197" s="148" t="s">
        <v>670</v>
      </c>
      <c r="I197" s="144"/>
      <c r="L197" s="33"/>
      <c r="M197" s="145"/>
      <c r="T197" s="54"/>
      <c r="AT197" s="18" t="s">
        <v>191</v>
      </c>
      <c r="AU197" s="18" t="s">
        <v>87</v>
      </c>
    </row>
    <row r="198" spans="2:65" s="1" customFormat="1" ht="21.75" customHeight="1">
      <c r="B198" s="128"/>
      <c r="C198" s="129" t="s">
        <v>302</v>
      </c>
      <c r="D198" s="129" t="s">
        <v>180</v>
      </c>
      <c r="E198" s="130" t="s">
        <v>671</v>
      </c>
      <c r="F198" s="131" t="s">
        <v>672</v>
      </c>
      <c r="G198" s="132" t="s">
        <v>332</v>
      </c>
      <c r="H198" s="133">
        <v>11400</v>
      </c>
      <c r="I198" s="134"/>
      <c r="J198" s="135">
        <f>ROUND(I198*H198,2)</f>
        <v>0</v>
      </c>
      <c r="K198" s="131" t="s">
        <v>184</v>
      </c>
      <c r="L198" s="33"/>
      <c r="M198" s="136" t="s">
        <v>3</v>
      </c>
      <c r="N198" s="137" t="s">
        <v>48</v>
      </c>
      <c r="P198" s="138">
        <f>O198*H198</f>
        <v>0</v>
      </c>
      <c r="Q198" s="138">
        <v>0</v>
      </c>
      <c r="R198" s="138">
        <f>Q198*H198</f>
        <v>0</v>
      </c>
      <c r="S198" s="138">
        <v>0</v>
      </c>
      <c r="T198" s="139">
        <f>S198*H198</f>
        <v>0</v>
      </c>
      <c r="AR198" s="140" t="s">
        <v>185</v>
      </c>
      <c r="AT198" s="140" t="s">
        <v>180</v>
      </c>
      <c r="AU198" s="140" t="s">
        <v>87</v>
      </c>
      <c r="AY198" s="18" t="s">
        <v>177</v>
      </c>
      <c r="BE198" s="141">
        <f>IF(N198="základní",J198,0)</f>
        <v>0</v>
      </c>
      <c r="BF198" s="141">
        <f>IF(N198="snížená",J198,0)</f>
        <v>0</v>
      </c>
      <c r="BG198" s="141">
        <f>IF(N198="zákl. přenesená",J198,0)</f>
        <v>0</v>
      </c>
      <c r="BH198" s="141">
        <f>IF(N198="sníž. přenesená",J198,0)</f>
        <v>0</v>
      </c>
      <c r="BI198" s="141">
        <f>IF(N198="nulová",J198,0)</f>
        <v>0</v>
      </c>
      <c r="BJ198" s="18" t="s">
        <v>85</v>
      </c>
      <c r="BK198" s="141">
        <f>ROUND(I198*H198,2)</f>
        <v>0</v>
      </c>
      <c r="BL198" s="18" t="s">
        <v>185</v>
      </c>
      <c r="BM198" s="140" t="s">
        <v>990</v>
      </c>
    </row>
    <row r="199" spans="2:47" s="1" customFormat="1" ht="19.5">
      <c r="B199" s="33"/>
      <c r="D199" s="142" t="s">
        <v>187</v>
      </c>
      <c r="F199" s="143" t="s">
        <v>674</v>
      </c>
      <c r="I199" s="144"/>
      <c r="L199" s="33"/>
      <c r="M199" s="145"/>
      <c r="T199" s="54"/>
      <c r="AT199" s="18" t="s">
        <v>187</v>
      </c>
      <c r="AU199" s="18" t="s">
        <v>87</v>
      </c>
    </row>
    <row r="200" spans="2:47" s="1" customFormat="1" ht="11.25">
      <c r="B200" s="33"/>
      <c r="D200" s="146" t="s">
        <v>189</v>
      </c>
      <c r="F200" s="147" t="s">
        <v>675</v>
      </c>
      <c r="I200" s="144"/>
      <c r="L200" s="33"/>
      <c r="M200" s="145"/>
      <c r="T200" s="54"/>
      <c r="AT200" s="18" t="s">
        <v>189</v>
      </c>
      <c r="AU200" s="18" t="s">
        <v>87</v>
      </c>
    </row>
    <row r="201" spans="2:47" s="1" customFormat="1" ht="39">
      <c r="B201" s="33"/>
      <c r="D201" s="142" t="s">
        <v>191</v>
      </c>
      <c r="F201" s="148" t="s">
        <v>670</v>
      </c>
      <c r="I201" s="144"/>
      <c r="L201" s="33"/>
      <c r="M201" s="145"/>
      <c r="T201" s="54"/>
      <c r="AT201" s="18" t="s">
        <v>191</v>
      </c>
      <c r="AU201" s="18" t="s">
        <v>87</v>
      </c>
    </row>
    <row r="202" spans="2:65" s="1" customFormat="1" ht="21.75" customHeight="1">
      <c r="B202" s="128"/>
      <c r="C202" s="129" t="s">
        <v>315</v>
      </c>
      <c r="D202" s="129" t="s">
        <v>180</v>
      </c>
      <c r="E202" s="130" t="s">
        <v>676</v>
      </c>
      <c r="F202" s="131" t="s">
        <v>677</v>
      </c>
      <c r="G202" s="132" t="s">
        <v>332</v>
      </c>
      <c r="H202" s="133">
        <v>380</v>
      </c>
      <c r="I202" s="134"/>
      <c r="J202" s="135">
        <f>ROUND(I202*H202,2)</f>
        <v>0</v>
      </c>
      <c r="K202" s="131" t="s">
        <v>184</v>
      </c>
      <c r="L202" s="33"/>
      <c r="M202" s="136" t="s">
        <v>3</v>
      </c>
      <c r="N202" s="137" t="s">
        <v>48</v>
      </c>
      <c r="P202" s="138">
        <f>O202*H202</f>
        <v>0</v>
      </c>
      <c r="Q202" s="138">
        <v>0</v>
      </c>
      <c r="R202" s="138">
        <f>Q202*H202</f>
        <v>0</v>
      </c>
      <c r="S202" s="138">
        <v>0</v>
      </c>
      <c r="T202" s="139">
        <f>S202*H202</f>
        <v>0</v>
      </c>
      <c r="AR202" s="140" t="s">
        <v>185</v>
      </c>
      <c r="AT202" s="140" t="s">
        <v>180</v>
      </c>
      <c r="AU202" s="140" t="s">
        <v>87</v>
      </c>
      <c r="AY202" s="18" t="s">
        <v>177</v>
      </c>
      <c r="BE202" s="141">
        <f>IF(N202="základní",J202,0)</f>
        <v>0</v>
      </c>
      <c r="BF202" s="141">
        <f>IF(N202="snížená",J202,0)</f>
        <v>0</v>
      </c>
      <c r="BG202" s="141">
        <f>IF(N202="zákl. přenesená",J202,0)</f>
        <v>0</v>
      </c>
      <c r="BH202" s="141">
        <f>IF(N202="sníž. přenesená",J202,0)</f>
        <v>0</v>
      </c>
      <c r="BI202" s="141">
        <f>IF(N202="nulová",J202,0)</f>
        <v>0</v>
      </c>
      <c r="BJ202" s="18" t="s">
        <v>85</v>
      </c>
      <c r="BK202" s="141">
        <f>ROUND(I202*H202,2)</f>
        <v>0</v>
      </c>
      <c r="BL202" s="18" t="s">
        <v>185</v>
      </c>
      <c r="BM202" s="140" t="s">
        <v>991</v>
      </c>
    </row>
    <row r="203" spans="2:47" s="1" customFormat="1" ht="19.5">
      <c r="B203" s="33"/>
      <c r="D203" s="142" t="s">
        <v>187</v>
      </c>
      <c r="F203" s="143" t="s">
        <v>679</v>
      </c>
      <c r="I203" s="144"/>
      <c r="L203" s="33"/>
      <c r="M203" s="145"/>
      <c r="T203" s="54"/>
      <c r="AT203" s="18" t="s">
        <v>187</v>
      </c>
      <c r="AU203" s="18" t="s">
        <v>87</v>
      </c>
    </row>
    <row r="204" spans="2:47" s="1" customFormat="1" ht="11.25">
      <c r="B204" s="33"/>
      <c r="D204" s="146" t="s">
        <v>189</v>
      </c>
      <c r="F204" s="147" t="s">
        <v>680</v>
      </c>
      <c r="I204" s="144"/>
      <c r="L204" s="33"/>
      <c r="M204" s="145"/>
      <c r="T204" s="54"/>
      <c r="AT204" s="18" t="s">
        <v>189</v>
      </c>
      <c r="AU204" s="18" t="s">
        <v>87</v>
      </c>
    </row>
    <row r="205" spans="2:65" s="1" customFormat="1" ht="37.9" customHeight="1">
      <c r="B205" s="128"/>
      <c r="C205" s="129" t="s">
        <v>461</v>
      </c>
      <c r="D205" s="129" t="s">
        <v>180</v>
      </c>
      <c r="E205" s="130" t="s">
        <v>330</v>
      </c>
      <c r="F205" s="131" t="s">
        <v>331</v>
      </c>
      <c r="G205" s="132" t="s">
        <v>332</v>
      </c>
      <c r="H205" s="133">
        <v>328.8</v>
      </c>
      <c r="I205" s="134"/>
      <c r="J205" s="135">
        <f>ROUND(I205*H205,2)</f>
        <v>0</v>
      </c>
      <c r="K205" s="131" t="s">
        <v>184</v>
      </c>
      <c r="L205" s="33"/>
      <c r="M205" s="136" t="s">
        <v>3</v>
      </c>
      <c r="N205" s="137" t="s">
        <v>48</v>
      </c>
      <c r="P205" s="138">
        <f>O205*H205</f>
        <v>0</v>
      </c>
      <c r="Q205" s="138">
        <v>0.00021</v>
      </c>
      <c r="R205" s="138">
        <f>Q205*H205</f>
        <v>0.06904800000000001</v>
      </c>
      <c r="S205" s="138">
        <v>0</v>
      </c>
      <c r="T205" s="139">
        <f>S205*H205</f>
        <v>0</v>
      </c>
      <c r="AR205" s="140" t="s">
        <v>185</v>
      </c>
      <c r="AT205" s="140" t="s">
        <v>180</v>
      </c>
      <c r="AU205" s="140" t="s">
        <v>87</v>
      </c>
      <c r="AY205" s="18" t="s">
        <v>177</v>
      </c>
      <c r="BE205" s="141">
        <f>IF(N205="základní",J205,0)</f>
        <v>0</v>
      </c>
      <c r="BF205" s="141">
        <f>IF(N205="snížená",J205,0)</f>
        <v>0</v>
      </c>
      <c r="BG205" s="141">
        <f>IF(N205="zákl. přenesená",J205,0)</f>
        <v>0</v>
      </c>
      <c r="BH205" s="141">
        <f>IF(N205="sníž. přenesená",J205,0)</f>
        <v>0</v>
      </c>
      <c r="BI205" s="141">
        <f>IF(N205="nulová",J205,0)</f>
        <v>0</v>
      </c>
      <c r="BJ205" s="18" t="s">
        <v>85</v>
      </c>
      <c r="BK205" s="141">
        <f>ROUND(I205*H205,2)</f>
        <v>0</v>
      </c>
      <c r="BL205" s="18" t="s">
        <v>185</v>
      </c>
      <c r="BM205" s="140" t="s">
        <v>992</v>
      </c>
    </row>
    <row r="206" spans="2:47" s="1" customFormat="1" ht="19.5">
      <c r="B206" s="33"/>
      <c r="D206" s="142" t="s">
        <v>187</v>
      </c>
      <c r="F206" s="143" t="s">
        <v>334</v>
      </c>
      <c r="I206" s="144"/>
      <c r="L206" s="33"/>
      <c r="M206" s="145"/>
      <c r="T206" s="54"/>
      <c r="AT206" s="18" t="s">
        <v>187</v>
      </c>
      <c r="AU206" s="18" t="s">
        <v>87</v>
      </c>
    </row>
    <row r="207" spans="2:47" s="1" customFormat="1" ht="11.25">
      <c r="B207" s="33"/>
      <c r="D207" s="146" t="s">
        <v>189</v>
      </c>
      <c r="F207" s="147" t="s">
        <v>335</v>
      </c>
      <c r="I207" s="144"/>
      <c r="L207" s="33"/>
      <c r="M207" s="145"/>
      <c r="T207" s="54"/>
      <c r="AT207" s="18" t="s">
        <v>189</v>
      </c>
      <c r="AU207" s="18" t="s">
        <v>87</v>
      </c>
    </row>
    <row r="208" spans="2:47" s="1" customFormat="1" ht="78">
      <c r="B208" s="33"/>
      <c r="D208" s="142" t="s">
        <v>191</v>
      </c>
      <c r="F208" s="148" t="s">
        <v>336</v>
      </c>
      <c r="I208" s="144"/>
      <c r="L208" s="33"/>
      <c r="M208" s="145"/>
      <c r="T208" s="54"/>
      <c r="AT208" s="18" t="s">
        <v>191</v>
      </c>
      <c r="AU208" s="18" t="s">
        <v>87</v>
      </c>
    </row>
    <row r="209" spans="2:51" s="12" customFormat="1" ht="11.25">
      <c r="B209" s="149"/>
      <c r="D209" s="142" t="s">
        <v>193</v>
      </c>
      <c r="E209" s="150" t="s">
        <v>3</v>
      </c>
      <c r="F209" s="151" t="s">
        <v>993</v>
      </c>
      <c r="H209" s="152">
        <v>328.8</v>
      </c>
      <c r="I209" s="153"/>
      <c r="L209" s="149"/>
      <c r="M209" s="154"/>
      <c r="T209" s="155"/>
      <c r="AT209" s="150" t="s">
        <v>193</v>
      </c>
      <c r="AU209" s="150" t="s">
        <v>87</v>
      </c>
      <c r="AV209" s="12" t="s">
        <v>87</v>
      </c>
      <c r="AW209" s="12" t="s">
        <v>36</v>
      </c>
      <c r="AX209" s="12" t="s">
        <v>85</v>
      </c>
      <c r="AY209" s="150" t="s">
        <v>177</v>
      </c>
    </row>
    <row r="210" spans="2:65" s="1" customFormat="1" ht="24.2" customHeight="1">
      <c r="B210" s="128"/>
      <c r="C210" s="129" t="s">
        <v>467</v>
      </c>
      <c r="D210" s="129" t="s">
        <v>180</v>
      </c>
      <c r="E210" s="130" t="s">
        <v>339</v>
      </c>
      <c r="F210" s="131" t="s">
        <v>340</v>
      </c>
      <c r="G210" s="132" t="s">
        <v>332</v>
      </c>
      <c r="H210" s="133">
        <v>328.8</v>
      </c>
      <c r="I210" s="134"/>
      <c r="J210" s="135">
        <f>ROUND(I210*H210,2)</f>
        <v>0</v>
      </c>
      <c r="K210" s="131" t="s">
        <v>184</v>
      </c>
      <c r="L210" s="33"/>
      <c r="M210" s="136" t="s">
        <v>3</v>
      </c>
      <c r="N210" s="137" t="s">
        <v>48</v>
      </c>
      <c r="P210" s="138">
        <f>O210*H210</f>
        <v>0</v>
      </c>
      <c r="Q210" s="138">
        <v>3.5E-05</v>
      </c>
      <c r="R210" s="138">
        <f>Q210*H210</f>
        <v>0.011508</v>
      </c>
      <c r="S210" s="138">
        <v>0</v>
      </c>
      <c r="T210" s="139">
        <f>S210*H210</f>
        <v>0</v>
      </c>
      <c r="AR210" s="140" t="s">
        <v>185</v>
      </c>
      <c r="AT210" s="140" t="s">
        <v>180</v>
      </c>
      <c r="AU210" s="140" t="s">
        <v>87</v>
      </c>
      <c r="AY210" s="18" t="s">
        <v>177</v>
      </c>
      <c r="BE210" s="141">
        <f>IF(N210="základní",J210,0)</f>
        <v>0</v>
      </c>
      <c r="BF210" s="141">
        <f>IF(N210="snížená",J210,0)</f>
        <v>0</v>
      </c>
      <c r="BG210" s="141">
        <f>IF(N210="zákl. přenesená",J210,0)</f>
        <v>0</v>
      </c>
      <c r="BH210" s="141">
        <f>IF(N210="sníž. přenesená",J210,0)</f>
        <v>0</v>
      </c>
      <c r="BI210" s="141">
        <f>IF(N210="nulová",J210,0)</f>
        <v>0</v>
      </c>
      <c r="BJ210" s="18" t="s">
        <v>85</v>
      </c>
      <c r="BK210" s="141">
        <f>ROUND(I210*H210,2)</f>
        <v>0</v>
      </c>
      <c r="BL210" s="18" t="s">
        <v>185</v>
      </c>
      <c r="BM210" s="140" t="s">
        <v>994</v>
      </c>
    </row>
    <row r="211" spans="2:47" s="1" customFormat="1" ht="19.5">
      <c r="B211" s="33"/>
      <c r="D211" s="142" t="s">
        <v>187</v>
      </c>
      <c r="F211" s="143" t="s">
        <v>342</v>
      </c>
      <c r="I211" s="144"/>
      <c r="L211" s="33"/>
      <c r="M211" s="145"/>
      <c r="T211" s="54"/>
      <c r="AT211" s="18" t="s">
        <v>187</v>
      </c>
      <c r="AU211" s="18" t="s">
        <v>87</v>
      </c>
    </row>
    <row r="212" spans="2:47" s="1" customFormat="1" ht="11.25">
      <c r="B212" s="33"/>
      <c r="D212" s="146" t="s">
        <v>189</v>
      </c>
      <c r="F212" s="147" t="s">
        <v>343</v>
      </c>
      <c r="I212" s="144"/>
      <c r="L212" s="33"/>
      <c r="M212" s="145"/>
      <c r="T212" s="54"/>
      <c r="AT212" s="18" t="s">
        <v>189</v>
      </c>
      <c r="AU212" s="18" t="s">
        <v>87</v>
      </c>
    </row>
    <row r="213" spans="2:47" s="1" customFormat="1" ht="273">
      <c r="B213" s="33"/>
      <c r="D213" s="142" t="s">
        <v>191</v>
      </c>
      <c r="F213" s="148" t="s">
        <v>344</v>
      </c>
      <c r="I213" s="144"/>
      <c r="L213" s="33"/>
      <c r="M213" s="145"/>
      <c r="T213" s="54"/>
      <c r="AT213" s="18" t="s">
        <v>191</v>
      </c>
      <c r="AU213" s="18" t="s">
        <v>87</v>
      </c>
    </row>
    <row r="214" spans="2:65" s="1" customFormat="1" ht="16.5" customHeight="1">
      <c r="B214" s="128"/>
      <c r="C214" s="129" t="s">
        <v>8</v>
      </c>
      <c r="D214" s="129" t="s">
        <v>180</v>
      </c>
      <c r="E214" s="130" t="s">
        <v>995</v>
      </c>
      <c r="F214" s="131" t="s">
        <v>996</v>
      </c>
      <c r="G214" s="132" t="s">
        <v>806</v>
      </c>
      <c r="H214" s="133">
        <v>2</v>
      </c>
      <c r="I214" s="134"/>
      <c r="J214" s="135">
        <f>ROUND(I214*H214,2)</f>
        <v>0</v>
      </c>
      <c r="K214" s="131" t="s">
        <v>184</v>
      </c>
      <c r="L214" s="33"/>
      <c r="M214" s="136" t="s">
        <v>3</v>
      </c>
      <c r="N214" s="137" t="s">
        <v>48</v>
      </c>
      <c r="P214" s="138">
        <f>O214*H214</f>
        <v>0</v>
      </c>
      <c r="Q214" s="138">
        <v>0</v>
      </c>
      <c r="R214" s="138">
        <f>Q214*H214</f>
        <v>0</v>
      </c>
      <c r="S214" s="138">
        <v>2</v>
      </c>
      <c r="T214" s="139">
        <f>S214*H214</f>
        <v>4</v>
      </c>
      <c r="AR214" s="140" t="s">
        <v>185</v>
      </c>
      <c r="AT214" s="140" t="s">
        <v>180</v>
      </c>
      <c r="AU214" s="140" t="s">
        <v>87</v>
      </c>
      <c r="AY214" s="18" t="s">
        <v>177</v>
      </c>
      <c r="BE214" s="141">
        <f>IF(N214="základní",J214,0)</f>
        <v>0</v>
      </c>
      <c r="BF214" s="141">
        <f>IF(N214="snížená",J214,0)</f>
        <v>0</v>
      </c>
      <c r="BG214" s="141">
        <f>IF(N214="zákl. přenesená",J214,0)</f>
        <v>0</v>
      </c>
      <c r="BH214" s="141">
        <f>IF(N214="sníž. přenesená",J214,0)</f>
        <v>0</v>
      </c>
      <c r="BI214" s="141">
        <f>IF(N214="nulová",J214,0)</f>
        <v>0</v>
      </c>
      <c r="BJ214" s="18" t="s">
        <v>85</v>
      </c>
      <c r="BK214" s="141">
        <f>ROUND(I214*H214,2)</f>
        <v>0</v>
      </c>
      <c r="BL214" s="18" t="s">
        <v>185</v>
      </c>
      <c r="BM214" s="140" t="s">
        <v>997</v>
      </c>
    </row>
    <row r="215" spans="2:47" s="1" customFormat="1" ht="11.25">
      <c r="B215" s="33"/>
      <c r="D215" s="142" t="s">
        <v>187</v>
      </c>
      <c r="F215" s="143" t="s">
        <v>998</v>
      </c>
      <c r="I215" s="144"/>
      <c r="L215" s="33"/>
      <c r="M215" s="145"/>
      <c r="T215" s="54"/>
      <c r="AT215" s="18" t="s">
        <v>187</v>
      </c>
      <c r="AU215" s="18" t="s">
        <v>87</v>
      </c>
    </row>
    <row r="216" spans="2:47" s="1" customFormat="1" ht="11.25">
      <c r="B216" s="33"/>
      <c r="D216" s="146" t="s">
        <v>189</v>
      </c>
      <c r="F216" s="147" t="s">
        <v>999</v>
      </c>
      <c r="I216" s="144"/>
      <c r="L216" s="33"/>
      <c r="M216" s="145"/>
      <c r="T216" s="54"/>
      <c r="AT216" s="18" t="s">
        <v>189</v>
      </c>
      <c r="AU216" s="18" t="s">
        <v>87</v>
      </c>
    </row>
    <row r="217" spans="2:51" s="13" customFormat="1" ht="11.25">
      <c r="B217" s="156"/>
      <c r="D217" s="142" t="s">
        <v>193</v>
      </c>
      <c r="E217" s="157" t="s">
        <v>3</v>
      </c>
      <c r="F217" s="158" t="s">
        <v>1000</v>
      </c>
      <c r="H217" s="157" t="s">
        <v>3</v>
      </c>
      <c r="I217" s="159"/>
      <c r="L217" s="156"/>
      <c r="M217" s="160"/>
      <c r="T217" s="161"/>
      <c r="AT217" s="157" t="s">
        <v>193</v>
      </c>
      <c r="AU217" s="157" t="s">
        <v>87</v>
      </c>
      <c r="AV217" s="13" t="s">
        <v>85</v>
      </c>
      <c r="AW217" s="13" t="s">
        <v>36</v>
      </c>
      <c r="AX217" s="13" t="s">
        <v>77</v>
      </c>
      <c r="AY217" s="157" t="s">
        <v>177</v>
      </c>
    </row>
    <row r="218" spans="2:51" s="12" customFormat="1" ht="11.25">
      <c r="B218" s="149"/>
      <c r="D218" s="142" t="s">
        <v>193</v>
      </c>
      <c r="E218" s="150" t="s">
        <v>3</v>
      </c>
      <c r="F218" s="151" t="s">
        <v>87</v>
      </c>
      <c r="H218" s="152">
        <v>2</v>
      </c>
      <c r="I218" s="153"/>
      <c r="L218" s="149"/>
      <c r="M218" s="154"/>
      <c r="T218" s="155"/>
      <c r="AT218" s="150" t="s">
        <v>193</v>
      </c>
      <c r="AU218" s="150" t="s">
        <v>87</v>
      </c>
      <c r="AV218" s="12" t="s">
        <v>87</v>
      </c>
      <c r="AW218" s="12" t="s">
        <v>36</v>
      </c>
      <c r="AX218" s="12" t="s">
        <v>85</v>
      </c>
      <c r="AY218" s="150" t="s">
        <v>177</v>
      </c>
    </row>
    <row r="219" spans="2:65" s="1" customFormat="1" ht="24.2" customHeight="1">
      <c r="B219" s="128"/>
      <c r="C219" s="129" t="s">
        <v>483</v>
      </c>
      <c r="D219" s="129" t="s">
        <v>180</v>
      </c>
      <c r="E219" s="130" t="s">
        <v>1001</v>
      </c>
      <c r="F219" s="131" t="s">
        <v>1002</v>
      </c>
      <c r="G219" s="132" t="s">
        <v>806</v>
      </c>
      <c r="H219" s="133">
        <v>28.785</v>
      </c>
      <c r="I219" s="134"/>
      <c r="J219" s="135">
        <f>ROUND(I219*H219,2)</f>
        <v>0</v>
      </c>
      <c r="K219" s="131" t="s">
        <v>184</v>
      </c>
      <c r="L219" s="33"/>
      <c r="M219" s="136" t="s">
        <v>3</v>
      </c>
      <c r="N219" s="137" t="s">
        <v>48</v>
      </c>
      <c r="P219" s="138">
        <f>O219*H219</f>
        <v>0</v>
      </c>
      <c r="Q219" s="138">
        <v>0</v>
      </c>
      <c r="R219" s="138">
        <f>Q219*H219</f>
        <v>0</v>
      </c>
      <c r="S219" s="138">
        <v>1.6</v>
      </c>
      <c r="T219" s="139">
        <f>S219*H219</f>
        <v>46.056000000000004</v>
      </c>
      <c r="AR219" s="140" t="s">
        <v>185</v>
      </c>
      <c r="AT219" s="140" t="s">
        <v>180</v>
      </c>
      <c r="AU219" s="140" t="s">
        <v>87</v>
      </c>
      <c r="AY219" s="18" t="s">
        <v>177</v>
      </c>
      <c r="BE219" s="141">
        <f>IF(N219="základní",J219,0)</f>
        <v>0</v>
      </c>
      <c r="BF219" s="141">
        <f>IF(N219="snížená",J219,0)</f>
        <v>0</v>
      </c>
      <c r="BG219" s="141">
        <f>IF(N219="zákl. přenesená",J219,0)</f>
        <v>0</v>
      </c>
      <c r="BH219" s="141">
        <f>IF(N219="sníž. přenesená",J219,0)</f>
        <v>0</v>
      </c>
      <c r="BI219" s="141">
        <f>IF(N219="nulová",J219,0)</f>
        <v>0</v>
      </c>
      <c r="BJ219" s="18" t="s">
        <v>85</v>
      </c>
      <c r="BK219" s="141">
        <f>ROUND(I219*H219,2)</f>
        <v>0</v>
      </c>
      <c r="BL219" s="18" t="s">
        <v>185</v>
      </c>
      <c r="BM219" s="140" t="s">
        <v>1003</v>
      </c>
    </row>
    <row r="220" spans="2:47" s="1" customFormat="1" ht="11.25">
      <c r="B220" s="33"/>
      <c r="D220" s="142" t="s">
        <v>187</v>
      </c>
      <c r="F220" s="143" t="s">
        <v>1004</v>
      </c>
      <c r="I220" s="144"/>
      <c r="L220" s="33"/>
      <c r="M220" s="145"/>
      <c r="T220" s="54"/>
      <c r="AT220" s="18" t="s">
        <v>187</v>
      </c>
      <c r="AU220" s="18" t="s">
        <v>87</v>
      </c>
    </row>
    <row r="221" spans="2:47" s="1" customFormat="1" ht="11.25">
      <c r="B221" s="33"/>
      <c r="D221" s="146" t="s">
        <v>189</v>
      </c>
      <c r="F221" s="147" t="s">
        <v>1005</v>
      </c>
      <c r="I221" s="144"/>
      <c r="L221" s="33"/>
      <c r="M221" s="145"/>
      <c r="T221" s="54"/>
      <c r="AT221" s="18" t="s">
        <v>189</v>
      </c>
      <c r="AU221" s="18" t="s">
        <v>87</v>
      </c>
    </row>
    <row r="222" spans="2:51" s="13" customFormat="1" ht="11.25">
      <c r="B222" s="156"/>
      <c r="D222" s="142" t="s">
        <v>193</v>
      </c>
      <c r="E222" s="157" t="s">
        <v>3</v>
      </c>
      <c r="F222" s="158" t="s">
        <v>1006</v>
      </c>
      <c r="H222" s="157" t="s">
        <v>3</v>
      </c>
      <c r="I222" s="159"/>
      <c r="L222" s="156"/>
      <c r="M222" s="160"/>
      <c r="T222" s="161"/>
      <c r="AT222" s="157" t="s">
        <v>193</v>
      </c>
      <c r="AU222" s="157" t="s">
        <v>87</v>
      </c>
      <c r="AV222" s="13" t="s">
        <v>85</v>
      </c>
      <c r="AW222" s="13" t="s">
        <v>36</v>
      </c>
      <c r="AX222" s="13" t="s">
        <v>77</v>
      </c>
      <c r="AY222" s="157" t="s">
        <v>177</v>
      </c>
    </row>
    <row r="223" spans="2:51" s="12" customFormat="1" ht="11.25">
      <c r="B223" s="149"/>
      <c r="D223" s="142" t="s">
        <v>193</v>
      </c>
      <c r="E223" s="150" t="s">
        <v>3</v>
      </c>
      <c r="F223" s="151" t="s">
        <v>1007</v>
      </c>
      <c r="H223" s="152">
        <v>1.31</v>
      </c>
      <c r="I223" s="153"/>
      <c r="L223" s="149"/>
      <c r="M223" s="154"/>
      <c r="T223" s="155"/>
      <c r="AT223" s="150" t="s">
        <v>193</v>
      </c>
      <c r="AU223" s="150" t="s">
        <v>87</v>
      </c>
      <c r="AV223" s="12" t="s">
        <v>87</v>
      </c>
      <c r="AW223" s="12" t="s">
        <v>36</v>
      </c>
      <c r="AX223" s="12" t="s">
        <v>77</v>
      </c>
      <c r="AY223" s="150" t="s">
        <v>177</v>
      </c>
    </row>
    <row r="224" spans="2:51" s="12" customFormat="1" ht="11.25">
      <c r="B224" s="149"/>
      <c r="D224" s="142" t="s">
        <v>193</v>
      </c>
      <c r="E224" s="150" t="s">
        <v>3</v>
      </c>
      <c r="F224" s="151" t="s">
        <v>1008</v>
      </c>
      <c r="H224" s="152">
        <v>27.475</v>
      </c>
      <c r="I224" s="153"/>
      <c r="L224" s="149"/>
      <c r="M224" s="154"/>
      <c r="T224" s="155"/>
      <c r="AT224" s="150" t="s">
        <v>193</v>
      </c>
      <c r="AU224" s="150" t="s">
        <v>87</v>
      </c>
      <c r="AV224" s="12" t="s">
        <v>87</v>
      </c>
      <c r="AW224" s="12" t="s">
        <v>36</v>
      </c>
      <c r="AX224" s="12" t="s">
        <v>77</v>
      </c>
      <c r="AY224" s="150" t="s">
        <v>177</v>
      </c>
    </row>
    <row r="225" spans="2:51" s="15" customFormat="1" ht="11.25">
      <c r="B225" s="169"/>
      <c r="D225" s="142" t="s">
        <v>193</v>
      </c>
      <c r="E225" s="170" t="s">
        <v>3</v>
      </c>
      <c r="F225" s="171" t="s">
        <v>201</v>
      </c>
      <c r="H225" s="172">
        <v>28.785</v>
      </c>
      <c r="I225" s="173"/>
      <c r="L225" s="169"/>
      <c r="M225" s="174"/>
      <c r="T225" s="175"/>
      <c r="AT225" s="170" t="s">
        <v>193</v>
      </c>
      <c r="AU225" s="170" t="s">
        <v>87</v>
      </c>
      <c r="AV225" s="15" t="s">
        <v>185</v>
      </c>
      <c r="AW225" s="15" t="s">
        <v>36</v>
      </c>
      <c r="AX225" s="15" t="s">
        <v>85</v>
      </c>
      <c r="AY225" s="170" t="s">
        <v>177</v>
      </c>
    </row>
    <row r="226" spans="2:65" s="1" customFormat="1" ht="16.5" customHeight="1">
      <c r="B226" s="128"/>
      <c r="C226" s="129" t="s">
        <v>490</v>
      </c>
      <c r="D226" s="129" t="s">
        <v>180</v>
      </c>
      <c r="E226" s="130" t="s">
        <v>1009</v>
      </c>
      <c r="F226" s="131" t="s">
        <v>1010</v>
      </c>
      <c r="G226" s="132" t="s">
        <v>806</v>
      </c>
      <c r="H226" s="133">
        <v>22.031</v>
      </c>
      <c r="I226" s="134"/>
      <c r="J226" s="135">
        <f>ROUND(I226*H226,2)</f>
        <v>0</v>
      </c>
      <c r="K226" s="131" t="s">
        <v>184</v>
      </c>
      <c r="L226" s="33"/>
      <c r="M226" s="136" t="s">
        <v>3</v>
      </c>
      <c r="N226" s="137" t="s">
        <v>48</v>
      </c>
      <c r="P226" s="138">
        <f>O226*H226</f>
        <v>0</v>
      </c>
      <c r="Q226" s="138">
        <v>0</v>
      </c>
      <c r="R226" s="138">
        <f>Q226*H226</f>
        <v>0</v>
      </c>
      <c r="S226" s="138">
        <v>2.4</v>
      </c>
      <c r="T226" s="139">
        <f>S226*H226</f>
        <v>52.874399999999994</v>
      </c>
      <c r="AR226" s="140" t="s">
        <v>185</v>
      </c>
      <c r="AT226" s="140" t="s">
        <v>180</v>
      </c>
      <c r="AU226" s="140" t="s">
        <v>87</v>
      </c>
      <c r="AY226" s="18" t="s">
        <v>177</v>
      </c>
      <c r="BE226" s="141">
        <f>IF(N226="základní",J226,0)</f>
        <v>0</v>
      </c>
      <c r="BF226" s="141">
        <f>IF(N226="snížená",J226,0)</f>
        <v>0</v>
      </c>
      <c r="BG226" s="141">
        <f>IF(N226="zákl. přenesená",J226,0)</f>
        <v>0</v>
      </c>
      <c r="BH226" s="141">
        <f>IF(N226="sníž. přenesená",J226,0)</f>
        <v>0</v>
      </c>
      <c r="BI226" s="141">
        <f>IF(N226="nulová",J226,0)</f>
        <v>0</v>
      </c>
      <c r="BJ226" s="18" t="s">
        <v>85</v>
      </c>
      <c r="BK226" s="141">
        <f>ROUND(I226*H226,2)</f>
        <v>0</v>
      </c>
      <c r="BL226" s="18" t="s">
        <v>185</v>
      </c>
      <c r="BM226" s="140" t="s">
        <v>1011</v>
      </c>
    </row>
    <row r="227" spans="2:47" s="1" customFormat="1" ht="11.25">
      <c r="B227" s="33"/>
      <c r="D227" s="142" t="s">
        <v>187</v>
      </c>
      <c r="F227" s="143" t="s">
        <v>1012</v>
      </c>
      <c r="I227" s="144"/>
      <c r="L227" s="33"/>
      <c r="M227" s="145"/>
      <c r="T227" s="54"/>
      <c r="AT227" s="18" t="s">
        <v>187</v>
      </c>
      <c r="AU227" s="18" t="s">
        <v>87</v>
      </c>
    </row>
    <row r="228" spans="2:47" s="1" customFormat="1" ht="11.25">
      <c r="B228" s="33"/>
      <c r="D228" s="146" t="s">
        <v>189</v>
      </c>
      <c r="F228" s="147" t="s">
        <v>1013</v>
      </c>
      <c r="I228" s="144"/>
      <c r="L228" s="33"/>
      <c r="M228" s="145"/>
      <c r="T228" s="54"/>
      <c r="AT228" s="18" t="s">
        <v>189</v>
      </c>
      <c r="AU228" s="18" t="s">
        <v>87</v>
      </c>
    </row>
    <row r="229" spans="2:47" s="1" customFormat="1" ht="39">
      <c r="B229" s="33"/>
      <c r="D229" s="142" t="s">
        <v>191</v>
      </c>
      <c r="F229" s="148" t="s">
        <v>1014</v>
      </c>
      <c r="I229" s="144"/>
      <c r="L229" s="33"/>
      <c r="M229" s="145"/>
      <c r="T229" s="54"/>
      <c r="AT229" s="18" t="s">
        <v>191</v>
      </c>
      <c r="AU229" s="18" t="s">
        <v>87</v>
      </c>
    </row>
    <row r="230" spans="2:51" s="13" customFormat="1" ht="11.25">
      <c r="B230" s="156"/>
      <c r="D230" s="142" t="s">
        <v>193</v>
      </c>
      <c r="E230" s="157" t="s">
        <v>3</v>
      </c>
      <c r="F230" s="158" t="s">
        <v>1015</v>
      </c>
      <c r="H230" s="157" t="s">
        <v>3</v>
      </c>
      <c r="I230" s="159"/>
      <c r="L230" s="156"/>
      <c r="M230" s="160"/>
      <c r="T230" s="161"/>
      <c r="AT230" s="157" t="s">
        <v>193</v>
      </c>
      <c r="AU230" s="157" t="s">
        <v>87</v>
      </c>
      <c r="AV230" s="13" t="s">
        <v>85</v>
      </c>
      <c r="AW230" s="13" t="s">
        <v>36</v>
      </c>
      <c r="AX230" s="13" t="s">
        <v>77</v>
      </c>
      <c r="AY230" s="157" t="s">
        <v>177</v>
      </c>
    </row>
    <row r="231" spans="2:51" s="12" customFormat="1" ht="11.25">
      <c r="B231" s="149"/>
      <c r="D231" s="142" t="s">
        <v>193</v>
      </c>
      <c r="E231" s="150" t="s">
        <v>3</v>
      </c>
      <c r="F231" s="151" t="s">
        <v>1016</v>
      </c>
      <c r="H231" s="152">
        <v>10.018</v>
      </c>
      <c r="I231" s="153"/>
      <c r="L231" s="149"/>
      <c r="M231" s="154"/>
      <c r="T231" s="155"/>
      <c r="AT231" s="150" t="s">
        <v>193</v>
      </c>
      <c r="AU231" s="150" t="s">
        <v>87</v>
      </c>
      <c r="AV231" s="12" t="s">
        <v>87</v>
      </c>
      <c r="AW231" s="12" t="s">
        <v>36</v>
      </c>
      <c r="AX231" s="12" t="s">
        <v>77</v>
      </c>
      <c r="AY231" s="150" t="s">
        <v>177</v>
      </c>
    </row>
    <row r="232" spans="2:51" s="12" customFormat="1" ht="11.25">
      <c r="B232" s="149"/>
      <c r="D232" s="142" t="s">
        <v>193</v>
      </c>
      <c r="E232" s="150" t="s">
        <v>3</v>
      </c>
      <c r="F232" s="151" t="s">
        <v>1017</v>
      </c>
      <c r="H232" s="152">
        <v>8.61</v>
      </c>
      <c r="I232" s="153"/>
      <c r="L232" s="149"/>
      <c r="M232" s="154"/>
      <c r="T232" s="155"/>
      <c r="AT232" s="150" t="s">
        <v>193</v>
      </c>
      <c r="AU232" s="150" t="s">
        <v>87</v>
      </c>
      <c r="AV232" s="12" t="s">
        <v>87</v>
      </c>
      <c r="AW232" s="12" t="s">
        <v>36</v>
      </c>
      <c r="AX232" s="12" t="s">
        <v>77</v>
      </c>
      <c r="AY232" s="150" t="s">
        <v>177</v>
      </c>
    </row>
    <row r="233" spans="2:51" s="13" customFormat="1" ht="11.25">
      <c r="B233" s="156"/>
      <c r="D233" s="142" t="s">
        <v>193</v>
      </c>
      <c r="E233" s="157" t="s">
        <v>3</v>
      </c>
      <c r="F233" s="158" t="s">
        <v>1018</v>
      </c>
      <c r="H233" s="157" t="s">
        <v>3</v>
      </c>
      <c r="I233" s="159"/>
      <c r="L233" s="156"/>
      <c r="M233" s="160"/>
      <c r="T233" s="161"/>
      <c r="AT233" s="157" t="s">
        <v>193</v>
      </c>
      <c r="AU233" s="157" t="s">
        <v>87</v>
      </c>
      <c r="AV233" s="13" t="s">
        <v>85</v>
      </c>
      <c r="AW233" s="13" t="s">
        <v>36</v>
      </c>
      <c r="AX233" s="13" t="s">
        <v>77</v>
      </c>
      <c r="AY233" s="157" t="s">
        <v>177</v>
      </c>
    </row>
    <row r="234" spans="2:51" s="12" customFormat="1" ht="11.25">
      <c r="B234" s="149"/>
      <c r="D234" s="142" t="s">
        <v>193</v>
      </c>
      <c r="E234" s="150" t="s">
        <v>3</v>
      </c>
      <c r="F234" s="151" t="s">
        <v>1019</v>
      </c>
      <c r="H234" s="152">
        <v>2.057</v>
      </c>
      <c r="I234" s="153"/>
      <c r="L234" s="149"/>
      <c r="M234" s="154"/>
      <c r="T234" s="155"/>
      <c r="AT234" s="150" t="s">
        <v>193</v>
      </c>
      <c r="AU234" s="150" t="s">
        <v>87</v>
      </c>
      <c r="AV234" s="12" t="s">
        <v>87</v>
      </c>
      <c r="AW234" s="12" t="s">
        <v>36</v>
      </c>
      <c r="AX234" s="12" t="s">
        <v>77</v>
      </c>
      <c r="AY234" s="150" t="s">
        <v>177</v>
      </c>
    </row>
    <row r="235" spans="2:51" s="13" customFormat="1" ht="11.25">
      <c r="B235" s="156"/>
      <c r="D235" s="142" t="s">
        <v>193</v>
      </c>
      <c r="E235" s="157" t="s">
        <v>3</v>
      </c>
      <c r="F235" s="158" t="s">
        <v>1020</v>
      </c>
      <c r="H235" s="157" t="s">
        <v>3</v>
      </c>
      <c r="I235" s="159"/>
      <c r="L235" s="156"/>
      <c r="M235" s="160"/>
      <c r="T235" s="161"/>
      <c r="AT235" s="157" t="s">
        <v>193</v>
      </c>
      <c r="AU235" s="157" t="s">
        <v>87</v>
      </c>
      <c r="AV235" s="13" t="s">
        <v>85</v>
      </c>
      <c r="AW235" s="13" t="s">
        <v>36</v>
      </c>
      <c r="AX235" s="13" t="s">
        <v>77</v>
      </c>
      <c r="AY235" s="157" t="s">
        <v>177</v>
      </c>
    </row>
    <row r="236" spans="2:51" s="12" customFormat="1" ht="11.25">
      <c r="B236" s="149"/>
      <c r="D236" s="142" t="s">
        <v>193</v>
      </c>
      <c r="E236" s="150" t="s">
        <v>3</v>
      </c>
      <c r="F236" s="151" t="s">
        <v>1021</v>
      </c>
      <c r="H236" s="152">
        <v>1.346</v>
      </c>
      <c r="I236" s="153"/>
      <c r="L236" s="149"/>
      <c r="M236" s="154"/>
      <c r="T236" s="155"/>
      <c r="AT236" s="150" t="s">
        <v>193</v>
      </c>
      <c r="AU236" s="150" t="s">
        <v>87</v>
      </c>
      <c r="AV236" s="12" t="s">
        <v>87</v>
      </c>
      <c r="AW236" s="12" t="s">
        <v>36</v>
      </c>
      <c r="AX236" s="12" t="s">
        <v>77</v>
      </c>
      <c r="AY236" s="150" t="s">
        <v>177</v>
      </c>
    </row>
    <row r="237" spans="2:51" s="15" customFormat="1" ht="11.25">
      <c r="B237" s="169"/>
      <c r="D237" s="142" t="s">
        <v>193</v>
      </c>
      <c r="E237" s="170" t="s">
        <v>3</v>
      </c>
      <c r="F237" s="171" t="s">
        <v>201</v>
      </c>
      <c r="H237" s="172">
        <v>22.031</v>
      </c>
      <c r="I237" s="173"/>
      <c r="L237" s="169"/>
      <c r="M237" s="174"/>
      <c r="T237" s="175"/>
      <c r="AT237" s="170" t="s">
        <v>193</v>
      </c>
      <c r="AU237" s="170" t="s">
        <v>87</v>
      </c>
      <c r="AV237" s="15" t="s">
        <v>185</v>
      </c>
      <c r="AW237" s="15" t="s">
        <v>36</v>
      </c>
      <c r="AX237" s="15" t="s">
        <v>85</v>
      </c>
      <c r="AY237" s="170" t="s">
        <v>177</v>
      </c>
    </row>
    <row r="238" spans="2:65" s="1" customFormat="1" ht="21.75" customHeight="1">
      <c r="B238" s="128"/>
      <c r="C238" s="129" t="s">
        <v>496</v>
      </c>
      <c r="D238" s="129" t="s">
        <v>180</v>
      </c>
      <c r="E238" s="130" t="s">
        <v>1022</v>
      </c>
      <c r="F238" s="131" t="s">
        <v>1023</v>
      </c>
      <c r="G238" s="132" t="s">
        <v>806</v>
      </c>
      <c r="H238" s="133">
        <v>4.5</v>
      </c>
      <c r="I238" s="134"/>
      <c r="J238" s="135">
        <f>ROUND(I238*H238,2)</f>
        <v>0</v>
      </c>
      <c r="K238" s="131" t="s">
        <v>184</v>
      </c>
      <c r="L238" s="33"/>
      <c r="M238" s="136" t="s">
        <v>3</v>
      </c>
      <c r="N238" s="137" t="s">
        <v>48</v>
      </c>
      <c r="P238" s="138">
        <f>O238*H238</f>
        <v>0</v>
      </c>
      <c r="Q238" s="138">
        <v>0</v>
      </c>
      <c r="R238" s="138">
        <f>Q238*H238</f>
        <v>0</v>
      </c>
      <c r="S238" s="138">
        <v>2.1</v>
      </c>
      <c r="T238" s="139">
        <f>S238*H238</f>
        <v>9.450000000000001</v>
      </c>
      <c r="AR238" s="140" t="s">
        <v>185</v>
      </c>
      <c r="AT238" s="140" t="s">
        <v>180</v>
      </c>
      <c r="AU238" s="140" t="s">
        <v>87</v>
      </c>
      <c r="AY238" s="18" t="s">
        <v>177</v>
      </c>
      <c r="BE238" s="141">
        <f>IF(N238="základní",J238,0)</f>
        <v>0</v>
      </c>
      <c r="BF238" s="141">
        <f>IF(N238="snížená",J238,0)</f>
        <v>0</v>
      </c>
      <c r="BG238" s="141">
        <f>IF(N238="zákl. přenesená",J238,0)</f>
        <v>0</v>
      </c>
      <c r="BH238" s="141">
        <f>IF(N238="sníž. přenesená",J238,0)</f>
        <v>0</v>
      </c>
      <c r="BI238" s="141">
        <f>IF(N238="nulová",J238,0)</f>
        <v>0</v>
      </c>
      <c r="BJ238" s="18" t="s">
        <v>85</v>
      </c>
      <c r="BK238" s="141">
        <f>ROUND(I238*H238,2)</f>
        <v>0</v>
      </c>
      <c r="BL238" s="18" t="s">
        <v>185</v>
      </c>
      <c r="BM238" s="140" t="s">
        <v>1024</v>
      </c>
    </row>
    <row r="239" spans="2:47" s="1" customFormat="1" ht="19.5">
      <c r="B239" s="33"/>
      <c r="D239" s="142" t="s">
        <v>187</v>
      </c>
      <c r="F239" s="143" t="s">
        <v>1025</v>
      </c>
      <c r="I239" s="144"/>
      <c r="L239" s="33"/>
      <c r="M239" s="145"/>
      <c r="T239" s="54"/>
      <c r="AT239" s="18" t="s">
        <v>187</v>
      </c>
      <c r="AU239" s="18" t="s">
        <v>87</v>
      </c>
    </row>
    <row r="240" spans="2:47" s="1" customFormat="1" ht="11.25">
      <c r="B240" s="33"/>
      <c r="D240" s="146" t="s">
        <v>189</v>
      </c>
      <c r="F240" s="147" t="s">
        <v>1026</v>
      </c>
      <c r="I240" s="144"/>
      <c r="L240" s="33"/>
      <c r="M240" s="145"/>
      <c r="T240" s="54"/>
      <c r="AT240" s="18" t="s">
        <v>189</v>
      </c>
      <c r="AU240" s="18" t="s">
        <v>87</v>
      </c>
    </row>
    <row r="241" spans="2:47" s="1" customFormat="1" ht="39">
      <c r="B241" s="33"/>
      <c r="D241" s="142" t="s">
        <v>191</v>
      </c>
      <c r="F241" s="148" t="s">
        <v>1027</v>
      </c>
      <c r="I241" s="144"/>
      <c r="L241" s="33"/>
      <c r="M241" s="145"/>
      <c r="T241" s="54"/>
      <c r="AT241" s="18" t="s">
        <v>191</v>
      </c>
      <c r="AU241" s="18" t="s">
        <v>87</v>
      </c>
    </row>
    <row r="242" spans="2:51" s="13" customFormat="1" ht="11.25">
      <c r="B242" s="156"/>
      <c r="D242" s="142" t="s">
        <v>193</v>
      </c>
      <c r="E242" s="157" t="s">
        <v>3</v>
      </c>
      <c r="F242" s="158" t="s">
        <v>1006</v>
      </c>
      <c r="H242" s="157" t="s">
        <v>3</v>
      </c>
      <c r="I242" s="159"/>
      <c r="L242" s="156"/>
      <c r="M242" s="160"/>
      <c r="T242" s="161"/>
      <c r="AT242" s="157" t="s">
        <v>193</v>
      </c>
      <c r="AU242" s="157" t="s">
        <v>87</v>
      </c>
      <c r="AV242" s="13" t="s">
        <v>85</v>
      </c>
      <c r="AW242" s="13" t="s">
        <v>36</v>
      </c>
      <c r="AX242" s="13" t="s">
        <v>77</v>
      </c>
      <c r="AY242" s="157" t="s">
        <v>177</v>
      </c>
    </row>
    <row r="243" spans="2:51" s="12" customFormat="1" ht="11.25">
      <c r="B243" s="149"/>
      <c r="D243" s="142" t="s">
        <v>193</v>
      </c>
      <c r="E243" s="150" t="s">
        <v>3</v>
      </c>
      <c r="F243" s="151" t="s">
        <v>1028</v>
      </c>
      <c r="H243" s="152">
        <v>4.5</v>
      </c>
      <c r="I243" s="153"/>
      <c r="L243" s="149"/>
      <c r="M243" s="154"/>
      <c r="T243" s="155"/>
      <c r="AT243" s="150" t="s">
        <v>193</v>
      </c>
      <c r="AU243" s="150" t="s">
        <v>87</v>
      </c>
      <c r="AV243" s="12" t="s">
        <v>87</v>
      </c>
      <c r="AW243" s="12" t="s">
        <v>36</v>
      </c>
      <c r="AX243" s="12" t="s">
        <v>85</v>
      </c>
      <c r="AY243" s="150" t="s">
        <v>177</v>
      </c>
    </row>
    <row r="244" spans="2:65" s="1" customFormat="1" ht="24.2" customHeight="1">
      <c r="B244" s="128"/>
      <c r="C244" s="129" t="s">
        <v>502</v>
      </c>
      <c r="D244" s="129" t="s">
        <v>180</v>
      </c>
      <c r="E244" s="130" t="s">
        <v>1029</v>
      </c>
      <c r="F244" s="131" t="s">
        <v>1030</v>
      </c>
      <c r="G244" s="132" t="s">
        <v>332</v>
      </c>
      <c r="H244" s="133">
        <v>41.76</v>
      </c>
      <c r="I244" s="134"/>
      <c r="J244" s="135">
        <f>ROUND(I244*H244,2)</f>
        <v>0</v>
      </c>
      <c r="K244" s="131" t="s">
        <v>184</v>
      </c>
      <c r="L244" s="33"/>
      <c r="M244" s="136" t="s">
        <v>3</v>
      </c>
      <c r="N244" s="137" t="s">
        <v>48</v>
      </c>
      <c r="P244" s="138">
        <f>O244*H244</f>
        <v>0</v>
      </c>
      <c r="Q244" s="138">
        <v>0</v>
      </c>
      <c r="R244" s="138">
        <f>Q244*H244</f>
        <v>0</v>
      </c>
      <c r="S244" s="138">
        <v>0.09</v>
      </c>
      <c r="T244" s="139">
        <f>S244*H244</f>
        <v>3.7583999999999995</v>
      </c>
      <c r="AR244" s="140" t="s">
        <v>185</v>
      </c>
      <c r="AT244" s="140" t="s">
        <v>180</v>
      </c>
      <c r="AU244" s="140" t="s">
        <v>87</v>
      </c>
      <c r="AY244" s="18" t="s">
        <v>177</v>
      </c>
      <c r="BE244" s="141">
        <f>IF(N244="základní",J244,0)</f>
        <v>0</v>
      </c>
      <c r="BF244" s="141">
        <f>IF(N244="snížená",J244,0)</f>
        <v>0</v>
      </c>
      <c r="BG244" s="141">
        <f>IF(N244="zákl. přenesená",J244,0)</f>
        <v>0</v>
      </c>
      <c r="BH244" s="141">
        <f>IF(N244="sníž. přenesená",J244,0)</f>
        <v>0</v>
      </c>
      <c r="BI244" s="141">
        <f>IF(N244="nulová",J244,0)</f>
        <v>0</v>
      </c>
      <c r="BJ244" s="18" t="s">
        <v>85</v>
      </c>
      <c r="BK244" s="141">
        <f>ROUND(I244*H244,2)</f>
        <v>0</v>
      </c>
      <c r="BL244" s="18" t="s">
        <v>185</v>
      </c>
      <c r="BM244" s="140" t="s">
        <v>1031</v>
      </c>
    </row>
    <row r="245" spans="2:47" s="1" customFormat="1" ht="19.5">
      <c r="B245" s="33"/>
      <c r="D245" s="142" t="s">
        <v>187</v>
      </c>
      <c r="F245" s="143" t="s">
        <v>1032</v>
      </c>
      <c r="I245" s="144"/>
      <c r="L245" s="33"/>
      <c r="M245" s="145"/>
      <c r="T245" s="54"/>
      <c r="AT245" s="18" t="s">
        <v>187</v>
      </c>
      <c r="AU245" s="18" t="s">
        <v>87</v>
      </c>
    </row>
    <row r="246" spans="2:47" s="1" customFormat="1" ht="11.25">
      <c r="B246" s="33"/>
      <c r="D246" s="146" t="s">
        <v>189</v>
      </c>
      <c r="F246" s="147" t="s">
        <v>1033</v>
      </c>
      <c r="I246" s="144"/>
      <c r="L246" s="33"/>
      <c r="M246" s="145"/>
      <c r="T246" s="54"/>
      <c r="AT246" s="18" t="s">
        <v>189</v>
      </c>
      <c r="AU246" s="18" t="s">
        <v>87</v>
      </c>
    </row>
    <row r="247" spans="2:51" s="13" customFormat="1" ht="11.25">
      <c r="B247" s="156"/>
      <c r="D247" s="142" t="s">
        <v>193</v>
      </c>
      <c r="E247" s="157" t="s">
        <v>3</v>
      </c>
      <c r="F247" s="158" t="s">
        <v>1006</v>
      </c>
      <c r="H247" s="157" t="s">
        <v>3</v>
      </c>
      <c r="I247" s="159"/>
      <c r="L247" s="156"/>
      <c r="M247" s="160"/>
      <c r="T247" s="161"/>
      <c r="AT247" s="157" t="s">
        <v>193</v>
      </c>
      <c r="AU247" s="157" t="s">
        <v>87</v>
      </c>
      <c r="AV247" s="13" t="s">
        <v>85</v>
      </c>
      <c r="AW247" s="13" t="s">
        <v>36</v>
      </c>
      <c r="AX247" s="13" t="s">
        <v>77</v>
      </c>
      <c r="AY247" s="157" t="s">
        <v>177</v>
      </c>
    </row>
    <row r="248" spans="2:51" s="12" customFormat="1" ht="11.25">
      <c r="B248" s="149"/>
      <c r="D248" s="142" t="s">
        <v>193</v>
      </c>
      <c r="E248" s="150" t="s">
        <v>3</v>
      </c>
      <c r="F248" s="151" t="s">
        <v>1034</v>
      </c>
      <c r="H248" s="152">
        <v>41.76</v>
      </c>
      <c r="I248" s="153"/>
      <c r="L248" s="149"/>
      <c r="M248" s="154"/>
      <c r="T248" s="155"/>
      <c r="AT248" s="150" t="s">
        <v>193</v>
      </c>
      <c r="AU248" s="150" t="s">
        <v>87</v>
      </c>
      <c r="AV248" s="12" t="s">
        <v>87</v>
      </c>
      <c r="AW248" s="12" t="s">
        <v>36</v>
      </c>
      <c r="AX248" s="12" t="s">
        <v>85</v>
      </c>
      <c r="AY248" s="150" t="s">
        <v>177</v>
      </c>
    </row>
    <row r="249" spans="2:65" s="1" customFormat="1" ht="24.2" customHeight="1">
      <c r="B249" s="128"/>
      <c r="C249" s="129" t="s">
        <v>504</v>
      </c>
      <c r="D249" s="129" t="s">
        <v>180</v>
      </c>
      <c r="E249" s="130" t="s">
        <v>1035</v>
      </c>
      <c r="F249" s="131" t="s">
        <v>1036</v>
      </c>
      <c r="G249" s="132" t="s">
        <v>332</v>
      </c>
      <c r="H249" s="133">
        <v>1.62</v>
      </c>
      <c r="I249" s="134"/>
      <c r="J249" s="135">
        <f>ROUND(I249*H249,2)</f>
        <v>0</v>
      </c>
      <c r="K249" s="131" t="s">
        <v>184</v>
      </c>
      <c r="L249" s="33"/>
      <c r="M249" s="136" t="s">
        <v>3</v>
      </c>
      <c r="N249" s="137" t="s">
        <v>48</v>
      </c>
      <c r="P249" s="138">
        <f>O249*H249</f>
        <v>0</v>
      </c>
      <c r="Q249" s="138">
        <v>0</v>
      </c>
      <c r="R249" s="138">
        <f>Q249*H249</f>
        <v>0</v>
      </c>
      <c r="S249" s="138">
        <v>0.089</v>
      </c>
      <c r="T249" s="139">
        <f>S249*H249</f>
        <v>0.14418</v>
      </c>
      <c r="AR249" s="140" t="s">
        <v>185</v>
      </c>
      <c r="AT249" s="140" t="s">
        <v>180</v>
      </c>
      <c r="AU249" s="140" t="s">
        <v>87</v>
      </c>
      <c r="AY249" s="18" t="s">
        <v>177</v>
      </c>
      <c r="BE249" s="141">
        <f>IF(N249="základní",J249,0)</f>
        <v>0</v>
      </c>
      <c r="BF249" s="141">
        <f>IF(N249="snížená",J249,0)</f>
        <v>0</v>
      </c>
      <c r="BG249" s="141">
        <f>IF(N249="zákl. přenesená",J249,0)</f>
        <v>0</v>
      </c>
      <c r="BH249" s="141">
        <f>IF(N249="sníž. přenesená",J249,0)</f>
        <v>0</v>
      </c>
      <c r="BI249" s="141">
        <f>IF(N249="nulová",J249,0)</f>
        <v>0</v>
      </c>
      <c r="BJ249" s="18" t="s">
        <v>85</v>
      </c>
      <c r="BK249" s="141">
        <f>ROUND(I249*H249,2)</f>
        <v>0</v>
      </c>
      <c r="BL249" s="18" t="s">
        <v>185</v>
      </c>
      <c r="BM249" s="140" t="s">
        <v>1037</v>
      </c>
    </row>
    <row r="250" spans="2:47" s="1" customFormat="1" ht="29.25">
      <c r="B250" s="33"/>
      <c r="D250" s="142" t="s">
        <v>187</v>
      </c>
      <c r="F250" s="143" t="s">
        <v>1038</v>
      </c>
      <c r="I250" s="144"/>
      <c r="L250" s="33"/>
      <c r="M250" s="145"/>
      <c r="T250" s="54"/>
      <c r="AT250" s="18" t="s">
        <v>187</v>
      </c>
      <c r="AU250" s="18" t="s">
        <v>87</v>
      </c>
    </row>
    <row r="251" spans="2:47" s="1" customFormat="1" ht="11.25">
      <c r="B251" s="33"/>
      <c r="D251" s="146" t="s">
        <v>189</v>
      </c>
      <c r="F251" s="147" t="s">
        <v>1039</v>
      </c>
      <c r="I251" s="144"/>
      <c r="L251" s="33"/>
      <c r="M251" s="145"/>
      <c r="T251" s="54"/>
      <c r="AT251" s="18" t="s">
        <v>189</v>
      </c>
      <c r="AU251" s="18" t="s">
        <v>87</v>
      </c>
    </row>
    <row r="252" spans="2:47" s="1" customFormat="1" ht="58.5">
      <c r="B252" s="33"/>
      <c r="D252" s="142" t="s">
        <v>191</v>
      </c>
      <c r="F252" s="148" t="s">
        <v>1040</v>
      </c>
      <c r="I252" s="144"/>
      <c r="L252" s="33"/>
      <c r="M252" s="145"/>
      <c r="T252" s="54"/>
      <c r="AT252" s="18" t="s">
        <v>191</v>
      </c>
      <c r="AU252" s="18" t="s">
        <v>87</v>
      </c>
    </row>
    <row r="253" spans="2:51" s="13" customFormat="1" ht="11.25">
      <c r="B253" s="156"/>
      <c r="D253" s="142" t="s">
        <v>193</v>
      </c>
      <c r="E253" s="157" t="s">
        <v>3</v>
      </c>
      <c r="F253" s="158" t="s">
        <v>1006</v>
      </c>
      <c r="H253" s="157" t="s">
        <v>3</v>
      </c>
      <c r="I253" s="159"/>
      <c r="L253" s="156"/>
      <c r="M253" s="160"/>
      <c r="T253" s="161"/>
      <c r="AT253" s="157" t="s">
        <v>193</v>
      </c>
      <c r="AU253" s="157" t="s">
        <v>87</v>
      </c>
      <c r="AV253" s="13" t="s">
        <v>85</v>
      </c>
      <c r="AW253" s="13" t="s">
        <v>36</v>
      </c>
      <c r="AX253" s="13" t="s">
        <v>77</v>
      </c>
      <c r="AY253" s="157" t="s">
        <v>177</v>
      </c>
    </row>
    <row r="254" spans="2:51" s="12" customFormat="1" ht="11.25">
      <c r="B254" s="149"/>
      <c r="D254" s="142" t="s">
        <v>193</v>
      </c>
      <c r="E254" s="150" t="s">
        <v>3</v>
      </c>
      <c r="F254" s="151" t="s">
        <v>1041</v>
      </c>
      <c r="H254" s="152">
        <v>1.62</v>
      </c>
      <c r="I254" s="153"/>
      <c r="L254" s="149"/>
      <c r="M254" s="154"/>
      <c r="T254" s="155"/>
      <c r="AT254" s="150" t="s">
        <v>193</v>
      </c>
      <c r="AU254" s="150" t="s">
        <v>87</v>
      </c>
      <c r="AV254" s="12" t="s">
        <v>87</v>
      </c>
      <c r="AW254" s="12" t="s">
        <v>36</v>
      </c>
      <c r="AX254" s="12" t="s">
        <v>85</v>
      </c>
      <c r="AY254" s="150" t="s">
        <v>177</v>
      </c>
    </row>
    <row r="255" spans="2:65" s="1" customFormat="1" ht="21.75" customHeight="1">
      <c r="B255" s="128"/>
      <c r="C255" s="129" t="s">
        <v>507</v>
      </c>
      <c r="D255" s="129" t="s">
        <v>180</v>
      </c>
      <c r="E255" s="130" t="s">
        <v>1042</v>
      </c>
      <c r="F255" s="131" t="s">
        <v>1043</v>
      </c>
      <c r="G255" s="132" t="s">
        <v>332</v>
      </c>
      <c r="H255" s="133">
        <v>3.2</v>
      </c>
      <c r="I255" s="134"/>
      <c r="J255" s="135">
        <f>ROUND(I255*H255,2)</f>
        <v>0</v>
      </c>
      <c r="K255" s="131" t="s">
        <v>184</v>
      </c>
      <c r="L255" s="33"/>
      <c r="M255" s="136" t="s">
        <v>3</v>
      </c>
      <c r="N255" s="137" t="s">
        <v>48</v>
      </c>
      <c r="P255" s="138">
        <f>O255*H255</f>
        <v>0</v>
      </c>
      <c r="Q255" s="138">
        <v>0</v>
      </c>
      <c r="R255" s="138">
        <f>Q255*H255</f>
        <v>0</v>
      </c>
      <c r="S255" s="138">
        <v>0.076</v>
      </c>
      <c r="T255" s="139">
        <f>S255*H255</f>
        <v>0.2432</v>
      </c>
      <c r="AR255" s="140" t="s">
        <v>185</v>
      </c>
      <c r="AT255" s="140" t="s">
        <v>180</v>
      </c>
      <c r="AU255" s="140" t="s">
        <v>87</v>
      </c>
      <c r="AY255" s="18" t="s">
        <v>177</v>
      </c>
      <c r="BE255" s="141">
        <f>IF(N255="základní",J255,0)</f>
        <v>0</v>
      </c>
      <c r="BF255" s="141">
        <f>IF(N255="snížená",J255,0)</f>
        <v>0</v>
      </c>
      <c r="BG255" s="141">
        <f>IF(N255="zákl. přenesená",J255,0)</f>
        <v>0</v>
      </c>
      <c r="BH255" s="141">
        <f>IF(N255="sníž. přenesená",J255,0)</f>
        <v>0</v>
      </c>
      <c r="BI255" s="141">
        <f>IF(N255="nulová",J255,0)</f>
        <v>0</v>
      </c>
      <c r="BJ255" s="18" t="s">
        <v>85</v>
      </c>
      <c r="BK255" s="141">
        <f>ROUND(I255*H255,2)</f>
        <v>0</v>
      </c>
      <c r="BL255" s="18" t="s">
        <v>185</v>
      </c>
      <c r="BM255" s="140" t="s">
        <v>1044</v>
      </c>
    </row>
    <row r="256" spans="2:47" s="1" customFormat="1" ht="19.5">
      <c r="B256" s="33"/>
      <c r="D256" s="142" t="s">
        <v>187</v>
      </c>
      <c r="F256" s="143" t="s">
        <v>1045</v>
      </c>
      <c r="I256" s="144"/>
      <c r="L256" s="33"/>
      <c r="M256" s="145"/>
      <c r="T256" s="54"/>
      <c r="AT256" s="18" t="s">
        <v>187</v>
      </c>
      <c r="AU256" s="18" t="s">
        <v>87</v>
      </c>
    </row>
    <row r="257" spans="2:47" s="1" customFormat="1" ht="11.25">
      <c r="B257" s="33"/>
      <c r="D257" s="146" t="s">
        <v>189</v>
      </c>
      <c r="F257" s="147" t="s">
        <v>1046</v>
      </c>
      <c r="I257" s="144"/>
      <c r="L257" s="33"/>
      <c r="M257" s="145"/>
      <c r="T257" s="54"/>
      <c r="AT257" s="18" t="s">
        <v>189</v>
      </c>
      <c r="AU257" s="18" t="s">
        <v>87</v>
      </c>
    </row>
    <row r="258" spans="2:47" s="1" customFormat="1" ht="58.5">
      <c r="B258" s="33"/>
      <c r="D258" s="142" t="s">
        <v>191</v>
      </c>
      <c r="F258" s="148" t="s">
        <v>1040</v>
      </c>
      <c r="I258" s="144"/>
      <c r="L258" s="33"/>
      <c r="M258" s="145"/>
      <c r="T258" s="54"/>
      <c r="AT258" s="18" t="s">
        <v>191</v>
      </c>
      <c r="AU258" s="18" t="s">
        <v>87</v>
      </c>
    </row>
    <row r="259" spans="2:51" s="13" customFormat="1" ht="11.25">
      <c r="B259" s="156"/>
      <c r="D259" s="142" t="s">
        <v>193</v>
      </c>
      <c r="E259" s="157" t="s">
        <v>3</v>
      </c>
      <c r="F259" s="158" t="s">
        <v>929</v>
      </c>
      <c r="H259" s="157" t="s">
        <v>3</v>
      </c>
      <c r="I259" s="159"/>
      <c r="L259" s="156"/>
      <c r="M259" s="160"/>
      <c r="T259" s="161"/>
      <c r="AT259" s="157" t="s">
        <v>193</v>
      </c>
      <c r="AU259" s="157" t="s">
        <v>87</v>
      </c>
      <c r="AV259" s="13" t="s">
        <v>85</v>
      </c>
      <c r="AW259" s="13" t="s">
        <v>36</v>
      </c>
      <c r="AX259" s="13" t="s">
        <v>77</v>
      </c>
      <c r="AY259" s="157" t="s">
        <v>177</v>
      </c>
    </row>
    <row r="260" spans="2:51" s="12" customFormat="1" ht="11.25">
      <c r="B260" s="149"/>
      <c r="D260" s="142" t="s">
        <v>193</v>
      </c>
      <c r="E260" s="150" t="s">
        <v>3</v>
      </c>
      <c r="F260" s="151" t="s">
        <v>1047</v>
      </c>
      <c r="H260" s="152">
        <v>3.2</v>
      </c>
      <c r="I260" s="153"/>
      <c r="L260" s="149"/>
      <c r="M260" s="154"/>
      <c r="T260" s="155"/>
      <c r="AT260" s="150" t="s">
        <v>193</v>
      </c>
      <c r="AU260" s="150" t="s">
        <v>87</v>
      </c>
      <c r="AV260" s="12" t="s">
        <v>87</v>
      </c>
      <c r="AW260" s="12" t="s">
        <v>36</v>
      </c>
      <c r="AX260" s="12" t="s">
        <v>85</v>
      </c>
      <c r="AY260" s="150" t="s">
        <v>177</v>
      </c>
    </row>
    <row r="261" spans="2:65" s="1" customFormat="1" ht="21.75" customHeight="1">
      <c r="B261" s="128"/>
      <c r="C261" s="129" t="s">
        <v>509</v>
      </c>
      <c r="D261" s="129" t="s">
        <v>180</v>
      </c>
      <c r="E261" s="130" t="s">
        <v>1048</v>
      </c>
      <c r="F261" s="131" t="s">
        <v>1049</v>
      </c>
      <c r="G261" s="132" t="s">
        <v>332</v>
      </c>
      <c r="H261" s="133">
        <v>3.178</v>
      </c>
      <c r="I261" s="134"/>
      <c r="J261" s="135">
        <f>ROUND(I261*H261,2)</f>
        <v>0</v>
      </c>
      <c r="K261" s="131" t="s">
        <v>184</v>
      </c>
      <c r="L261" s="33"/>
      <c r="M261" s="136" t="s">
        <v>3</v>
      </c>
      <c r="N261" s="137" t="s">
        <v>48</v>
      </c>
      <c r="P261" s="138">
        <f>O261*H261</f>
        <v>0</v>
      </c>
      <c r="Q261" s="138">
        <v>0</v>
      </c>
      <c r="R261" s="138">
        <f>Q261*H261</f>
        <v>0</v>
      </c>
      <c r="S261" s="138">
        <v>0.063</v>
      </c>
      <c r="T261" s="139">
        <f>S261*H261</f>
        <v>0.200214</v>
      </c>
      <c r="AR261" s="140" t="s">
        <v>185</v>
      </c>
      <c r="AT261" s="140" t="s">
        <v>180</v>
      </c>
      <c r="AU261" s="140" t="s">
        <v>87</v>
      </c>
      <c r="AY261" s="18" t="s">
        <v>177</v>
      </c>
      <c r="BE261" s="141">
        <f>IF(N261="základní",J261,0)</f>
        <v>0</v>
      </c>
      <c r="BF261" s="141">
        <f>IF(N261="snížená",J261,0)</f>
        <v>0</v>
      </c>
      <c r="BG261" s="141">
        <f>IF(N261="zákl. přenesená",J261,0)</f>
        <v>0</v>
      </c>
      <c r="BH261" s="141">
        <f>IF(N261="sníž. přenesená",J261,0)</f>
        <v>0</v>
      </c>
      <c r="BI261" s="141">
        <f>IF(N261="nulová",J261,0)</f>
        <v>0</v>
      </c>
      <c r="BJ261" s="18" t="s">
        <v>85</v>
      </c>
      <c r="BK261" s="141">
        <f>ROUND(I261*H261,2)</f>
        <v>0</v>
      </c>
      <c r="BL261" s="18" t="s">
        <v>185</v>
      </c>
      <c r="BM261" s="140" t="s">
        <v>1050</v>
      </c>
    </row>
    <row r="262" spans="2:47" s="1" customFormat="1" ht="19.5">
      <c r="B262" s="33"/>
      <c r="D262" s="142" t="s">
        <v>187</v>
      </c>
      <c r="F262" s="143" t="s">
        <v>1051</v>
      </c>
      <c r="I262" s="144"/>
      <c r="L262" s="33"/>
      <c r="M262" s="145"/>
      <c r="T262" s="54"/>
      <c r="AT262" s="18" t="s">
        <v>187</v>
      </c>
      <c r="AU262" s="18" t="s">
        <v>87</v>
      </c>
    </row>
    <row r="263" spans="2:47" s="1" customFormat="1" ht="11.25">
      <c r="B263" s="33"/>
      <c r="D263" s="146" t="s">
        <v>189</v>
      </c>
      <c r="F263" s="147" t="s">
        <v>1052</v>
      </c>
      <c r="I263" s="144"/>
      <c r="L263" s="33"/>
      <c r="M263" s="145"/>
      <c r="T263" s="54"/>
      <c r="AT263" s="18" t="s">
        <v>189</v>
      </c>
      <c r="AU263" s="18" t="s">
        <v>87</v>
      </c>
    </row>
    <row r="264" spans="2:47" s="1" customFormat="1" ht="58.5">
      <c r="B264" s="33"/>
      <c r="D264" s="142" t="s">
        <v>191</v>
      </c>
      <c r="F264" s="148" t="s">
        <v>1040</v>
      </c>
      <c r="I264" s="144"/>
      <c r="L264" s="33"/>
      <c r="M264" s="145"/>
      <c r="T264" s="54"/>
      <c r="AT264" s="18" t="s">
        <v>191</v>
      </c>
      <c r="AU264" s="18" t="s">
        <v>87</v>
      </c>
    </row>
    <row r="265" spans="2:51" s="13" customFormat="1" ht="11.25">
      <c r="B265" s="156"/>
      <c r="D265" s="142" t="s">
        <v>193</v>
      </c>
      <c r="E265" s="157" t="s">
        <v>3</v>
      </c>
      <c r="F265" s="158" t="s">
        <v>1006</v>
      </c>
      <c r="H265" s="157" t="s">
        <v>3</v>
      </c>
      <c r="I265" s="159"/>
      <c r="L265" s="156"/>
      <c r="M265" s="160"/>
      <c r="T265" s="161"/>
      <c r="AT265" s="157" t="s">
        <v>193</v>
      </c>
      <c r="AU265" s="157" t="s">
        <v>87</v>
      </c>
      <c r="AV265" s="13" t="s">
        <v>85</v>
      </c>
      <c r="AW265" s="13" t="s">
        <v>36</v>
      </c>
      <c r="AX265" s="13" t="s">
        <v>77</v>
      </c>
      <c r="AY265" s="157" t="s">
        <v>177</v>
      </c>
    </row>
    <row r="266" spans="2:51" s="12" customFormat="1" ht="11.25">
      <c r="B266" s="149"/>
      <c r="D266" s="142" t="s">
        <v>193</v>
      </c>
      <c r="E266" s="150" t="s">
        <v>3</v>
      </c>
      <c r="F266" s="151" t="s">
        <v>1053</v>
      </c>
      <c r="H266" s="152">
        <v>3.178</v>
      </c>
      <c r="I266" s="153"/>
      <c r="L266" s="149"/>
      <c r="M266" s="154"/>
      <c r="T266" s="155"/>
      <c r="AT266" s="150" t="s">
        <v>193</v>
      </c>
      <c r="AU266" s="150" t="s">
        <v>87</v>
      </c>
      <c r="AV266" s="12" t="s">
        <v>87</v>
      </c>
      <c r="AW266" s="12" t="s">
        <v>36</v>
      </c>
      <c r="AX266" s="12" t="s">
        <v>85</v>
      </c>
      <c r="AY266" s="150" t="s">
        <v>177</v>
      </c>
    </row>
    <row r="267" spans="2:65" s="1" customFormat="1" ht="24.2" customHeight="1">
      <c r="B267" s="128"/>
      <c r="C267" s="129" t="s">
        <v>512</v>
      </c>
      <c r="D267" s="129" t="s">
        <v>180</v>
      </c>
      <c r="E267" s="130" t="s">
        <v>1054</v>
      </c>
      <c r="F267" s="131" t="s">
        <v>1055</v>
      </c>
      <c r="G267" s="132" t="s">
        <v>332</v>
      </c>
      <c r="H267" s="133">
        <v>6.48</v>
      </c>
      <c r="I267" s="134"/>
      <c r="J267" s="135">
        <f>ROUND(I267*H267,2)</f>
        <v>0</v>
      </c>
      <c r="K267" s="131" t="s">
        <v>184</v>
      </c>
      <c r="L267" s="33"/>
      <c r="M267" s="136" t="s">
        <v>3</v>
      </c>
      <c r="N267" s="137" t="s">
        <v>48</v>
      </c>
      <c r="P267" s="138">
        <f>O267*H267</f>
        <v>0</v>
      </c>
      <c r="Q267" s="138">
        <v>0</v>
      </c>
      <c r="R267" s="138">
        <f>Q267*H267</f>
        <v>0</v>
      </c>
      <c r="S267" s="138">
        <v>0.073</v>
      </c>
      <c r="T267" s="139">
        <f>S267*H267</f>
        <v>0.47304</v>
      </c>
      <c r="AR267" s="140" t="s">
        <v>185</v>
      </c>
      <c r="AT267" s="140" t="s">
        <v>180</v>
      </c>
      <c r="AU267" s="140" t="s">
        <v>87</v>
      </c>
      <c r="AY267" s="18" t="s">
        <v>177</v>
      </c>
      <c r="BE267" s="141">
        <f>IF(N267="základní",J267,0)</f>
        <v>0</v>
      </c>
      <c r="BF267" s="141">
        <f>IF(N267="snížená",J267,0)</f>
        <v>0</v>
      </c>
      <c r="BG267" s="141">
        <f>IF(N267="zákl. přenesená",J267,0)</f>
        <v>0</v>
      </c>
      <c r="BH267" s="141">
        <f>IF(N267="sníž. přenesená",J267,0)</f>
        <v>0</v>
      </c>
      <c r="BI267" s="141">
        <f>IF(N267="nulová",J267,0)</f>
        <v>0</v>
      </c>
      <c r="BJ267" s="18" t="s">
        <v>85</v>
      </c>
      <c r="BK267" s="141">
        <f>ROUND(I267*H267,2)</f>
        <v>0</v>
      </c>
      <c r="BL267" s="18" t="s">
        <v>185</v>
      </c>
      <c r="BM267" s="140" t="s">
        <v>1056</v>
      </c>
    </row>
    <row r="268" spans="2:47" s="1" customFormat="1" ht="19.5">
      <c r="B268" s="33"/>
      <c r="D268" s="142" t="s">
        <v>187</v>
      </c>
      <c r="F268" s="143" t="s">
        <v>1057</v>
      </c>
      <c r="I268" s="144"/>
      <c r="L268" s="33"/>
      <c r="M268" s="145"/>
      <c r="T268" s="54"/>
      <c r="AT268" s="18" t="s">
        <v>187</v>
      </c>
      <c r="AU268" s="18" t="s">
        <v>87</v>
      </c>
    </row>
    <row r="269" spans="2:47" s="1" customFormat="1" ht="11.25">
      <c r="B269" s="33"/>
      <c r="D269" s="146" t="s">
        <v>189</v>
      </c>
      <c r="F269" s="147" t="s">
        <v>1058</v>
      </c>
      <c r="I269" s="144"/>
      <c r="L269" s="33"/>
      <c r="M269" s="145"/>
      <c r="T269" s="54"/>
      <c r="AT269" s="18" t="s">
        <v>189</v>
      </c>
      <c r="AU269" s="18" t="s">
        <v>87</v>
      </c>
    </row>
    <row r="270" spans="2:47" s="1" customFormat="1" ht="68.25">
      <c r="B270" s="33"/>
      <c r="D270" s="142" t="s">
        <v>191</v>
      </c>
      <c r="F270" s="148" t="s">
        <v>1059</v>
      </c>
      <c r="I270" s="144"/>
      <c r="L270" s="33"/>
      <c r="M270" s="145"/>
      <c r="T270" s="54"/>
      <c r="AT270" s="18" t="s">
        <v>191</v>
      </c>
      <c r="AU270" s="18" t="s">
        <v>87</v>
      </c>
    </row>
    <row r="271" spans="2:51" s="13" customFormat="1" ht="11.25">
      <c r="B271" s="156"/>
      <c r="D271" s="142" t="s">
        <v>193</v>
      </c>
      <c r="E271" s="157" t="s">
        <v>3</v>
      </c>
      <c r="F271" s="158" t="s">
        <v>937</v>
      </c>
      <c r="H271" s="157" t="s">
        <v>3</v>
      </c>
      <c r="I271" s="159"/>
      <c r="L271" s="156"/>
      <c r="M271" s="160"/>
      <c r="T271" s="161"/>
      <c r="AT271" s="157" t="s">
        <v>193</v>
      </c>
      <c r="AU271" s="157" t="s">
        <v>87</v>
      </c>
      <c r="AV271" s="13" t="s">
        <v>85</v>
      </c>
      <c r="AW271" s="13" t="s">
        <v>36</v>
      </c>
      <c r="AX271" s="13" t="s">
        <v>77</v>
      </c>
      <c r="AY271" s="157" t="s">
        <v>177</v>
      </c>
    </row>
    <row r="272" spans="2:51" s="12" customFormat="1" ht="11.25">
      <c r="B272" s="149"/>
      <c r="D272" s="142" t="s">
        <v>193</v>
      </c>
      <c r="E272" s="150" t="s">
        <v>3</v>
      </c>
      <c r="F272" s="151" t="s">
        <v>1060</v>
      </c>
      <c r="H272" s="152">
        <v>6.48</v>
      </c>
      <c r="I272" s="153"/>
      <c r="L272" s="149"/>
      <c r="M272" s="154"/>
      <c r="T272" s="155"/>
      <c r="AT272" s="150" t="s">
        <v>193</v>
      </c>
      <c r="AU272" s="150" t="s">
        <v>87</v>
      </c>
      <c r="AV272" s="12" t="s">
        <v>87</v>
      </c>
      <c r="AW272" s="12" t="s">
        <v>36</v>
      </c>
      <c r="AX272" s="12" t="s">
        <v>85</v>
      </c>
      <c r="AY272" s="150" t="s">
        <v>177</v>
      </c>
    </row>
    <row r="273" spans="2:65" s="1" customFormat="1" ht="24.2" customHeight="1">
      <c r="B273" s="128"/>
      <c r="C273" s="129" t="s">
        <v>520</v>
      </c>
      <c r="D273" s="129" t="s">
        <v>180</v>
      </c>
      <c r="E273" s="130" t="s">
        <v>1061</v>
      </c>
      <c r="F273" s="131" t="s">
        <v>1062</v>
      </c>
      <c r="G273" s="132" t="s">
        <v>332</v>
      </c>
      <c r="H273" s="133">
        <v>1.62</v>
      </c>
      <c r="I273" s="134"/>
      <c r="J273" s="135">
        <f>ROUND(I273*H273,2)</f>
        <v>0</v>
      </c>
      <c r="K273" s="131" t="s">
        <v>184</v>
      </c>
      <c r="L273" s="33"/>
      <c r="M273" s="136" t="s">
        <v>3</v>
      </c>
      <c r="N273" s="137" t="s">
        <v>48</v>
      </c>
      <c r="P273" s="138">
        <f>O273*H273</f>
        <v>0</v>
      </c>
      <c r="Q273" s="138">
        <v>0</v>
      </c>
      <c r="R273" s="138">
        <f>Q273*H273</f>
        <v>0</v>
      </c>
      <c r="S273" s="138">
        <v>0.059</v>
      </c>
      <c r="T273" s="139">
        <f>S273*H273</f>
        <v>0.09558</v>
      </c>
      <c r="AR273" s="140" t="s">
        <v>185</v>
      </c>
      <c r="AT273" s="140" t="s">
        <v>180</v>
      </c>
      <c r="AU273" s="140" t="s">
        <v>87</v>
      </c>
      <c r="AY273" s="18" t="s">
        <v>177</v>
      </c>
      <c r="BE273" s="141">
        <f>IF(N273="základní",J273,0)</f>
        <v>0</v>
      </c>
      <c r="BF273" s="141">
        <f>IF(N273="snížená",J273,0)</f>
        <v>0</v>
      </c>
      <c r="BG273" s="141">
        <f>IF(N273="zákl. přenesená",J273,0)</f>
        <v>0</v>
      </c>
      <c r="BH273" s="141">
        <f>IF(N273="sníž. přenesená",J273,0)</f>
        <v>0</v>
      </c>
      <c r="BI273" s="141">
        <f>IF(N273="nulová",J273,0)</f>
        <v>0</v>
      </c>
      <c r="BJ273" s="18" t="s">
        <v>85</v>
      </c>
      <c r="BK273" s="141">
        <f>ROUND(I273*H273,2)</f>
        <v>0</v>
      </c>
      <c r="BL273" s="18" t="s">
        <v>185</v>
      </c>
      <c r="BM273" s="140" t="s">
        <v>1063</v>
      </c>
    </row>
    <row r="274" spans="2:47" s="1" customFormat="1" ht="19.5">
      <c r="B274" s="33"/>
      <c r="D274" s="142" t="s">
        <v>187</v>
      </c>
      <c r="F274" s="143" t="s">
        <v>1064</v>
      </c>
      <c r="I274" s="144"/>
      <c r="L274" s="33"/>
      <c r="M274" s="145"/>
      <c r="T274" s="54"/>
      <c r="AT274" s="18" t="s">
        <v>187</v>
      </c>
      <c r="AU274" s="18" t="s">
        <v>87</v>
      </c>
    </row>
    <row r="275" spans="2:47" s="1" customFormat="1" ht="11.25">
      <c r="B275" s="33"/>
      <c r="D275" s="146" t="s">
        <v>189</v>
      </c>
      <c r="F275" s="147" t="s">
        <v>1065</v>
      </c>
      <c r="I275" s="144"/>
      <c r="L275" s="33"/>
      <c r="M275" s="145"/>
      <c r="T275" s="54"/>
      <c r="AT275" s="18" t="s">
        <v>189</v>
      </c>
      <c r="AU275" s="18" t="s">
        <v>87</v>
      </c>
    </row>
    <row r="276" spans="2:47" s="1" customFormat="1" ht="68.25">
      <c r="B276" s="33"/>
      <c r="D276" s="142" t="s">
        <v>191</v>
      </c>
      <c r="F276" s="148" t="s">
        <v>1059</v>
      </c>
      <c r="I276" s="144"/>
      <c r="L276" s="33"/>
      <c r="M276" s="145"/>
      <c r="T276" s="54"/>
      <c r="AT276" s="18" t="s">
        <v>191</v>
      </c>
      <c r="AU276" s="18" t="s">
        <v>87</v>
      </c>
    </row>
    <row r="277" spans="2:51" s="13" customFormat="1" ht="11.25">
      <c r="B277" s="156"/>
      <c r="D277" s="142" t="s">
        <v>193</v>
      </c>
      <c r="E277" s="157" t="s">
        <v>3</v>
      </c>
      <c r="F277" s="158" t="s">
        <v>937</v>
      </c>
      <c r="H277" s="157" t="s">
        <v>3</v>
      </c>
      <c r="I277" s="159"/>
      <c r="L277" s="156"/>
      <c r="M277" s="160"/>
      <c r="T277" s="161"/>
      <c r="AT277" s="157" t="s">
        <v>193</v>
      </c>
      <c r="AU277" s="157" t="s">
        <v>87</v>
      </c>
      <c r="AV277" s="13" t="s">
        <v>85</v>
      </c>
      <c r="AW277" s="13" t="s">
        <v>36</v>
      </c>
      <c r="AX277" s="13" t="s">
        <v>77</v>
      </c>
      <c r="AY277" s="157" t="s">
        <v>177</v>
      </c>
    </row>
    <row r="278" spans="2:51" s="12" customFormat="1" ht="11.25">
      <c r="B278" s="149"/>
      <c r="D278" s="142" t="s">
        <v>193</v>
      </c>
      <c r="E278" s="150" t="s">
        <v>3</v>
      </c>
      <c r="F278" s="151" t="s">
        <v>1066</v>
      </c>
      <c r="H278" s="152">
        <v>1.62</v>
      </c>
      <c r="I278" s="153"/>
      <c r="L278" s="149"/>
      <c r="M278" s="154"/>
      <c r="T278" s="155"/>
      <c r="AT278" s="150" t="s">
        <v>193</v>
      </c>
      <c r="AU278" s="150" t="s">
        <v>87</v>
      </c>
      <c r="AV278" s="12" t="s">
        <v>87</v>
      </c>
      <c r="AW278" s="12" t="s">
        <v>36</v>
      </c>
      <c r="AX278" s="12" t="s">
        <v>85</v>
      </c>
      <c r="AY278" s="150" t="s">
        <v>177</v>
      </c>
    </row>
    <row r="279" spans="2:65" s="1" customFormat="1" ht="24.2" customHeight="1">
      <c r="B279" s="128"/>
      <c r="C279" s="129" t="s">
        <v>527</v>
      </c>
      <c r="D279" s="129" t="s">
        <v>180</v>
      </c>
      <c r="E279" s="130" t="s">
        <v>1067</v>
      </c>
      <c r="F279" s="131" t="s">
        <v>1068</v>
      </c>
      <c r="G279" s="132" t="s">
        <v>332</v>
      </c>
      <c r="H279" s="133">
        <v>9.72</v>
      </c>
      <c r="I279" s="134"/>
      <c r="J279" s="135">
        <f>ROUND(I279*H279,2)</f>
        <v>0</v>
      </c>
      <c r="K279" s="131" t="s">
        <v>184</v>
      </c>
      <c r="L279" s="33"/>
      <c r="M279" s="136" t="s">
        <v>3</v>
      </c>
      <c r="N279" s="137" t="s">
        <v>48</v>
      </c>
      <c r="P279" s="138">
        <f>O279*H279</f>
        <v>0</v>
      </c>
      <c r="Q279" s="138">
        <v>0</v>
      </c>
      <c r="R279" s="138">
        <f>Q279*H279</f>
        <v>0</v>
      </c>
      <c r="S279" s="138">
        <v>0.043</v>
      </c>
      <c r="T279" s="139">
        <f>S279*H279</f>
        <v>0.41796</v>
      </c>
      <c r="AR279" s="140" t="s">
        <v>185</v>
      </c>
      <c r="AT279" s="140" t="s">
        <v>180</v>
      </c>
      <c r="AU279" s="140" t="s">
        <v>87</v>
      </c>
      <c r="AY279" s="18" t="s">
        <v>177</v>
      </c>
      <c r="BE279" s="141">
        <f>IF(N279="základní",J279,0)</f>
        <v>0</v>
      </c>
      <c r="BF279" s="141">
        <f>IF(N279="snížená",J279,0)</f>
        <v>0</v>
      </c>
      <c r="BG279" s="141">
        <f>IF(N279="zákl. přenesená",J279,0)</f>
        <v>0</v>
      </c>
      <c r="BH279" s="141">
        <f>IF(N279="sníž. přenesená",J279,0)</f>
        <v>0</v>
      </c>
      <c r="BI279" s="141">
        <f>IF(N279="nulová",J279,0)</f>
        <v>0</v>
      </c>
      <c r="BJ279" s="18" t="s">
        <v>85</v>
      </c>
      <c r="BK279" s="141">
        <f>ROUND(I279*H279,2)</f>
        <v>0</v>
      </c>
      <c r="BL279" s="18" t="s">
        <v>185</v>
      </c>
      <c r="BM279" s="140" t="s">
        <v>1069</v>
      </c>
    </row>
    <row r="280" spans="2:47" s="1" customFormat="1" ht="19.5">
      <c r="B280" s="33"/>
      <c r="D280" s="142" t="s">
        <v>187</v>
      </c>
      <c r="F280" s="143" t="s">
        <v>1070</v>
      </c>
      <c r="I280" s="144"/>
      <c r="L280" s="33"/>
      <c r="M280" s="145"/>
      <c r="T280" s="54"/>
      <c r="AT280" s="18" t="s">
        <v>187</v>
      </c>
      <c r="AU280" s="18" t="s">
        <v>87</v>
      </c>
    </row>
    <row r="281" spans="2:47" s="1" customFormat="1" ht="11.25">
      <c r="B281" s="33"/>
      <c r="D281" s="146" t="s">
        <v>189</v>
      </c>
      <c r="F281" s="147" t="s">
        <v>1071</v>
      </c>
      <c r="I281" s="144"/>
      <c r="L281" s="33"/>
      <c r="M281" s="145"/>
      <c r="T281" s="54"/>
      <c r="AT281" s="18" t="s">
        <v>189</v>
      </c>
      <c r="AU281" s="18" t="s">
        <v>87</v>
      </c>
    </row>
    <row r="282" spans="2:47" s="1" customFormat="1" ht="68.25">
      <c r="B282" s="33"/>
      <c r="D282" s="142" t="s">
        <v>191</v>
      </c>
      <c r="F282" s="148" t="s">
        <v>1059</v>
      </c>
      <c r="I282" s="144"/>
      <c r="L282" s="33"/>
      <c r="M282" s="145"/>
      <c r="T282" s="54"/>
      <c r="AT282" s="18" t="s">
        <v>191</v>
      </c>
      <c r="AU282" s="18" t="s">
        <v>87</v>
      </c>
    </row>
    <row r="283" spans="2:51" s="13" customFormat="1" ht="11.25">
      <c r="B283" s="156"/>
      <c r="D283" s="142" t="s">
        <v>193</v>
      </c>
      <c r="E283" s="157" t="s">
        <v>3</v>
      </c>
      <c r="F283" s="158" t="s">
        <v>937</v>
      </c>
      <c r="H283" s="157" t="s">
        <v>3</v>
      </c>
      <c r="I283" s="159"/>
      <c r="L283" s="156"/>
      <c r="M283" s="160"/>
      <c r="T283" s="161"/>
      <c r="AT283" s="157" t="s">
        <v>193</v>
      </c>
      <c r="AU283" s="157" t="s">
        <v>87</v>
      </c>
      <c r="AV283" s="13" t="s">
        <v>85</v>
      </c>
      <c r="AW283" s="13" t="s">
        <v>36</v>
      </c>
      <c r="AX283" s="13" t="s">
        <v>77</v>
      </c>
      <c r="AY283" s="157" t="s">
        <v>177</v>
      </c>
    </row>
    <row r="284" spans="2:51" s="12" customFormat="1" ht="11.25">
      <c r="B284" s="149"/>
      <c r="D284" s="142" t="s">
        <v>193</v>
      </c>
      <c r="E284" s="150" t="s">
        <v>3</v>
      </c>
      <c r="F284" s="151" t="s">
        <v>1072</v>
      </c>
      <c r="H284" s="152">
        <v>9.72</v>
      </c>
      <c r="I284" s="153"/>
      <c r="L284" s="149"/>
      <c r="M284" s="154"/>
      <c r="T284" s="155"/>
      <c r="AT284" s="150" t="s">
        <v>193</v>
      </c>
      <c r="AU284" s="150" t="s">
        <v>87</v>
      </c>
      <c r="AV284" s="12" t="s">
        <v>87</v>
      </c>
      <c r="AW284" s="12" t="s">
        <v>36</v>
      </c>
      <c r="AX284" s="12" t="s">
        <v>85</v>
      </c>
      <c r="AY284" s="150" t="s">
        <v>177</v>
      </c>
    </row>
    <row r="285" spans="2:65" s="1" customFormat="1" ht="24.2" customHeight="1">
      <c r="B285" s="128"/>
      <c r="C285" s="129" t="s">
        <v>537</v>
      </c>
      <c r="D285" s="129" t="s">
        <v>180</v>
      </c>
      <c r="E285" s="130" t="s">
        <v>1073</v>
      </c>
      <c r="F285" s="131" t="s">
        <v>1074</v>
      </c>
      <c r="G285" s="132" t="s">
        <v>332</v>
      </c>
      <c r="H285" s="133">
        <v>1.2</v>
      </c>
      <c r="I285" s="134"/>
      <c r="J285" s="135">
        <f>ROUND(I285*H285,2)</f>
        <v>0</v>
      </c>
      <c r="K285" s="131" t="s">
        <v>184</v>
      </c>
      <c r="L285" s="33"/>
      <c r="M285" s="136" t="s">
        <v>3</v>
      </c>
      <c r="N285" s="137" t="s">
        <v>48</v>
      </c>
      <c r="P285" s="138">
        <f>O285*H285</f>
        <v>0</v>
      </c>
      <c r="Q285" s="138">
        <v>0</v>
      </c>
      <c r="R285" s="138">
        <f>Q285*H285</f>
        <v>0</v>
      </c>
      <c r="S285" s="138">
        <v>0.27</v>
      </c>
      <c r="T285" s="139">
        <f>S285*H285</f>
        <v>0.324</v>
      </c>
      <c r="AR285" s="140" t="s">
        <v>185</v>
      </c>
      <c r="AT285" s="140" t="s">
        <v>180</v>
      </c>
      <c r="AU285" s="140" t="s">
        <v>87</v>
      </c>
      <c r="AY285" s="18" t="s">
        <v>177</v>
      </c>
      <c r="BE285" s="141">
        <f>IF(N285="základní",J285,0)</f>
        <v>0</v>
      </c>
      <c r="BF285" s="141">
        <f>IF(N285="snížená",J285,0)</f>
        <v>0</v>
      </c>
      <c r="BG285" s="141">
        <f>IF(N285="zákl. přenesená",J285,0)</f>
        <v>0</v>
      </c>
      <c r="BH285" s="141">
        <f>IF(N285="sníž. přenesená",J285,0)</f>
        <v>0</v>
      </c>
      <c r="BI285" s="141">
        <f>IF(N285="nulová",J285,0)</f>
        <v>0</v>
      </c>
      <c r="BJ285" s="18" t="s">
        <v>85</v>
      </c>
      <c r="BK285" s="141">
        <f>ROUND(I285*H285,2)</f>
        <v>0</v>
      </c>
      <c r="BL285" s="18" t="s">
        <v>185</v>
      </c>
      <c r="BM285" s="140" t="s">
        <v>1075</v>
      </c>
    </row>
    <row r="286" spans="2:47" s="1" customFormat="1" ht="29.25">
      <c r="B286" s="33"/>
      <c r="D286" s="142" t="s">
        <v>187</v>
      </c>
      <c r="F286" s="143" t="s">
        <v>1076</v>
      </c>
      <c r="I286" s="144"/>
      <c r="L286" s="33"/>
      <c r="M286" s="145"/>
      <c r="T286" s="54"/>
      <c r="AT286" s="18" t="s">
        <v>187</v>
      </c>
      <c r="AU286" s="18" t="s">
        <v>87</v>
      </c>
    </row>
    <row r="287" spans="2:47" s="1" customFormat="1" ht="11.25">
      <c r="B287" s="33"/>
      <c r="D287" s="146" t="s">
        <v>189</v>
      </c>
      <c r="F287" s="147" t="s">
        <v>1077</v>
      </c>
      <c r="I287" s="144"/>
      <c r="L287" s="33"/>
      <c r="M287" s="145"/>
      <c r="T287" s="54"/>
      <c r="AT287" s="18" t="s">
        <v>189</v>
      </c>
      <c r="AU287" s="18" t="s">
        <v>87</v>
      </c>
    </row>
    <row r="288" spans="2:51" s="13" customFormat="1" ht="11.25">
      <c r="B288" s="156"/>
      <c r="D288" s="142" t="s">
        <v>193</v>
      </c>
      <c r="E288" s="157" t="s">
        <v>3</v>
      </c>
      <c r="F288" s="158" t="s">
        <v>929</v>
      </c>
      <c r="H288" s="157" t="s">
        <v>3</v>
      </c>
      <c r="I288" s="159"/>
      <c r="L288" s="156"/>
      <c r="M288" s="160"/>
      <c r="T288" s="161"/>
      <c r="AT288" s="157" t="s">
        <v>193</v>
      </c>
      <c r="AU288" s="157" t="s">
        <v>87</v>
      </c>
      <c r="AV288" s="13" t="s">
        <v>85</v>
      </c>
      <c r="AW288" s="13" t="s">
        <v>36</v>
      </c>
      <c r="AX288" s="13" t="s">
        <v>77</v>
      </c>
      <c r="AY288" s="157" t="s">
        <v>177</v>
      </c>
    </row>
    <row r="289" spans="2:51" s="12" customFormat="1" ht="11.25">
      <c r="B289" s="149"/>
      <c r="D289" s="142" t="s">
        <v>193</v>
      </c>
      <c r="E289" s="150" t="s">
        <v>3</v>
      </c>
      <c r="F289" s="151" t="s">
        <v>1078</v>
      </c>
      <c r="H289" s="152">
        <v>1.2</v>
      </c>
      <c r="I289" s="153"/>
      <c r="L289" s="149"/>
      <c r="M289" s="154"/>
      <c r="T289" s="155"/>
      <c r="AT289" s="150" t="s">
        <v>193</v>
      </c>
      <c r="AU289" s="150" t="s">
        <v>87</v>
      </c>
      <c r="AV289" s="12" t="s">
        <v>87</v>
      </c>
      <c r="AW289" s="12" t="s">
        <v>36</v>
      </c>
      <c r="AX289" s="12" t="s">
        <v>85</v>
      </c>
      <c r="AY289" s="150" t="s">
        <v>177</v>
      </c>
    </row>
    <row r="290" spans="2:65" s="1" customFormat="1" ht="24.2" customHeight="1">
      <c r="B290" s="128"/>
      <c r="C290" s="129" t="s">
        <v>756</v>
      </c>
      <c r="D290" s="129" t="s">
        <v>180</v>
      </c>
      <c r="E290" s="130" t="s">
        <v>1079</v>
      </c>
      <c r="F290" s="131" t="s">
        <v>1080</v>
      </c>
      <c r="G290" s="132" t="s">
        <v>806</v>
      </c>
      <c r="H290" s="133">
        <v>2.31</v>
      </c>
      <c r="I290" s="134"/>
      <c r="J290" s="135">
        <f>ROUND(I290*H290,2)</f>
        <v>0</v>
      </c>
      <c r="K290" s="131" t="s">
        <v>184</v>
      </c>
      <c r="L290" s="33"/>
      <c r="M290" s="136" t="s">
        <v>3</v>
      </c>
      <c r="N290" s="137" t="s">
        <v>48</v>
      </c>
      <c r="P290" s="138">
        <f>O290*H290</f>
        <v>0</v>
      </c>
      <c r="Q290" s="138">
        <v>0</v>
      </c>
      <c r="R290" s="138">
        <f>Q290*H290</f>
        <v>0</v>
      </c>
      <c r="S290" s="138">
        <v>1.8</v>
      </c>
      <c r="T290" s="139">
        <f>S290*H290</f>
        <v>4.158</v>
      </c>
      <c r="AR290" s="140" t="s">
        <v>185</v>
      </c>
      <c r="AT290" s="140" t="s">
        <v>180</v>
      </c>
      <c r="AU290" s="140" t="s">
        <v>87</v>
      </c>
      <c r="AY290" s="18" t="s">
        <v>177</v>
      </c>
      <c r="BE290" s="141">
        <f>IF(N290="základní",J290,0)</f>
        <v>0</v>
      </c>
      <c r="BF290" s="141">
        <f>IF(N290="snížená",J290,0)</f>
        <v>0</v>
      </c>
      <c r="BG290" s="141">
        <f>IF(N290="zákl. přenesená",J290,0)</f>
        <v>0</v>
      </c>
      <c r="BH290" s="141">
        <f>IF(N290="sníž. přenesená",J290,0)</f>
        <v>0</v>
      </c>
      <c r="BI290" s="141">
        <f>IF(N290="nulová",J290,0)</f>
        <v>0</v>
      </c>
      <c r="BJ290" s="18" t="s">
        <v>85</v>
      </c>
      <c r="BK290" s="141">
        <f>ROUND(I290*H290,2)</f>
        <v>0</v>
      </c>
      <c r="BL290" s="18" t="s">
        <v>185</v>
      </c>
      <c r="BM290" s="140" t="s">
        <v>1081</v>
      </c>
    </row>
    <row r="291" spans="2:47" s="1" customFormat="1" ht="29.25">
      <c r="B291" s="33"/>
      <c r="D291" s="142" t="s">
        <v>187</v>
      </c>
      <c r="F291" s="143" t="s">
        <v>1082</v>
      </c>
      <c r="I291" s="144"/>
      <c r="L291" s="33"/>
      <c r="M291" s="145"/>
      <c r="T291" s="54"/>
      <c r="AT291" s="18" t="s">
        <v>187</v>
      </c>
      <c r="AU291" s="18" t="s">
        <v>87</v>
      </c>
    </row>
    <row r="292" spans="2:47" s="1" customFormat="1" ht="11.25">
      <c r="B292" s="33"/>
      <c r="D292" s="146" t="s">
        <v>189</v>
      </c>
      <c r="F292" s="147" t="s">
        <v>1083</v>
      </c>
      <c r="I292" s="144"/>
      <c r="L292" s="33"/>
      <c r="M292" s="145"/>
      <c r="T292" s="54"/>
      <c r="AT292" s="18" t="s">
        <v>189</v>
      </c>
      <c r="AU292" s="18" t="s">
        <v>87</v>
      </c>
    </row>
    <row r="293" spans="2:51" s="13" customFormat="1" ht="11.25">
      <c r="B293" s="156"/>
      <c r="D293" s="142" t="s">
        <v>193</v>
      </c>
      <c r="E293" s="157" t="s">
        <v>3</v>
      </c>
      <c r="F293" s="158" t="s">
        <v>929</v>
      </c>
      <c r="H293" s="157" t="s">
        <v>3</v>
      </c>
      <c r="I293" s="159"/>
      <c r="L293" s="156"/>
      <c r="M293" s="160"/>
      <c r="T293" s="161"/>
      <c r="AT293" s="157" t="s">
        <v>193</v>
      </c>
      <c r="AU293" s="157" t="s">
        <v>87</v>
      </c>
      <c r="AV293" s="13" t="s">
        <v>85</v>
      </c>
      <c r="AW293" s="13" t="s">
        <v>36</v>
      </c>
      <c r="AX293" s="13" t="s">
        <v>77</v>
      </c>
      <c r="AY293" s="157" t="s">
        <v>177</v>
      </c>
    </row>
    <row r="294" spans="2:51" s="12" customFormat="1" ht="11.25">
      <c r="B294" s="149"/>
      <c r="D294" s="142" t="s">
        <v>193</v>
      </c>
      <c r="E294" s="150" t="s">
        <v>3</v>
      </c>
      <c r="F294" s="151" t="s">
        <v>1084</v>
      </c>
      <c r="H294" s="152">
        <v>2.31</v>
      </c>
      <c r="I294" s="153"/>
      <c r="L294" s="149"/>
      <c r="M294" s="154"/>
      <c r="T294" s="155"/>
      <c r="AT294" s="150" t="s">
        <v>193</v>
      </c>
      <c r="AU294" s="150" t="s">
        <v>87</v>
      </c>
      <c r="AV294" s="12" t="s">
        <v>87</v>
      </c>
      <c r="AW294" s="12" t="s">
        <v>36</v>
      </c>
      <c r="AX294" s="12" t="s">
        <v>85</v>
      </c>
      <c r="AY294" s="150" t="s">
        <v>177</v>
      </c>
    </row>
    <row r="295" spans="2:65" s="1" customFormat="1" ht="24.2" customHeight="1">
      <c r="B295" s="128"/>
      <c r="C295" s="129" t="s">
        <v>763</v>
      </c>
      <c r="D295" s="129" t="s">
        <v>180</v>
      </c>
      <c r="E295" s="130" t="s">
        <v>1085</v>
      </c>
      <c r="F295" s="131" t="s">
        <v>1086</v>
      </c>
      <c r="G295" s="132" t="s">
        <v>806</v>
      </c>
      <c r="H295" s="133">
        <v>3.778</v>
      </c>
      <c r="I295" s="134"/>
      <c r="J295" s="135">
        <f>ROUND(I295*H295,2)</f>
        <v>0</v>
      </c>
      <c r="K295" s="131" t="s">
        <v>184</v>
      </c>
      <c r="L295" s="33"/>
      <c r="M295" s="136" t="s">
        <v>3</v>
      </c>
      <c r="N295" s="137" t="s">
        <v>48</v>
      </c>
      <c r="P295" s="138">
        <f>O295*H295</f>
        <v>0</v>
      </c>
      <c r="Q295" s="138">
        <v>0</v>
      </c>
      <c r="R295" s="138">
        <f>Q295*H295</f>
        <v>0</v>
      </c>
      <c r="S295" s="138">
        <v>2.4</v>
      </c>
      <c r="T295" s="139">
        <f>S295*H295</f>
        <v>9.0672</v>
      </c>
      <c r="AR295" s="140" t="s">
        <v>185</v>
      </c>
      <c r="AT295" s="140" t="s">
        <v>180</v>
      </c>
      <c r="AU295" s="140" t="s">
        <v>87</v>
      </c>
      <c r="AY295" s="18" t="s">
        <v>177</v>
      </c>
      <c r="BE295" s="141">
        <f>IF(N295="základní",J295,0)</f>
        <v>0</v>
      </c>
      <c r="BF295" s="141">
        <f>IF(N295="snížená",J295,0)</f>
        <v>0</v>
      </c>
      <c r="BG295" s="141">
        <f>IF(N295="zákl. přenesená",J295,0)</f>
        <v>0</v>
      </c>
      <c r="BH295" s="141">
        <f>IF(N295="sníž. přenesená",J295,0)</f>
        <v>0</v>
      </c>
      <c r="BI295" s="141">
        <f>IF(N295="nulová",J295,0)</f>
        <v>0</v>
      </c>
      <c r="BJ295" s="18" t="s">
        <v>85</v>
      </c>
      <c r="BK295" s="141">
        <f>ROUND(I295*H295,2)</f>
        <v>0</v>
      </c>
      <c r="BL295" s="18" t="s">
        <v>185</v>
      </c>
      <c r="BM295" s="140" t="s">
        <v>1087</v>
      </c>
    </row>
    <row r="296" spans="2:47" s="1" customFormat="1" ht="19.5">
      <c r="B296" s="33"/>
      <c r="D296" s="142" t="s">
        <v>187</v>
      </c>
      <c r="F296" s="143" t="s">
        <v>1088</v>
      </c>
      <c r="I296" s="144"/>
      <c r="L296" s="33"/>
      <c r="M296" s="145"/>
      <c r="T296" s="54"/>
      <c r="AT296" s="18" t="s">
        <v>187</v>
      </c>
      <c r="AU296" s="18" t="s">
        <v>87</v>
      </c>
    </row>
    <row r="297" spans="2:47" s="1" customFormat="1" ht="11.25">
      <c r="B297" s="33"/>
      <c r="D297" s="146" t="s">
        <v>189</v>
      </c>
      <c r="F297" s="147" t="s">
        <v>1089</v>
      </c>
      <c r="I297" s="144"/>
      <c r="L297" s="33"/>
      <c r="M297" s="145"/>
      <c r="T297" s="54"/>
      <c r="AT297" s="18" t="s">
        <v>189</v>
      </c>
      <c r="AU297" s="18" t="s">
        <v>87</v>
      </c>
    </row>
    <row r="298" spans="2:51" s="13" customFormat="1" ht="11.25">
      <c r="B298" s="156"/>
      <c r="D298" s="142" t="s">
        <v>193</v>
      </c>
      <c r="E298" s="157" t="s">
        <v>3</v>
      </c>
      <c r="F298" s="158" t="s">
        <v>929</v>
      </c>
      <c r="H298" s="157" t="s">
        <v>3</v>
      </c>
      <c r="I298" s="159"/>
      <c r="L298" s="156"/>
      <c r="M298" s="160"/>
      <c r="T298" s="161"/>
      <c r="AT298" s="157" t="s">
        <v>193</v>
      </c>
      <c r="AU298" s="157" t="s">
        <v>87</v>
      </c>
      <c r="AV298" s="13" t="s">
        <v>85</v>
      </c>
      <c r="AW298" s="13" t="s">
        <v>36</v>
      </c>
      <c r="AX298" s="13" t="s">
        <v>77</v>
      </c>
      <c r="AY298" s="157" t="s">
        <v>177</v>
      </c>
    </row>
    <row r="299" spans="2:51" s="12" customFormat="1" ht="11.25">
      <c r="B299" s="149"/>
      <c r="D299" s="142" t="s">
        <v>193</v>
      </c>
      <c r="E299" s="150" t="s">
        <v>3</v>
      </c>
      <c r="F299" s="151" t="s">
        <v>1090</v>
      </c>
      <c r="H299" s="152">
        <v>1.355</v>
      </c>
      <c r="I299" s="153"/>
      <c r="L299" s="149"/>
      <c r="M299" s="154"/>
      <c r="T299" s="155"/>
      <c r="AT299" s="150" t="s">
        <v>193</v>
      </c>
      <c r="AU299" s="150" t="s">
        <v>87</v>
      </c>
      <c r="AV299" s="12" t="s">
        <v>87</v>
      </c>
      <c r="AW299" s="12" t="s">
        <v>36</v>
      </c>
      <c r="AX299" s="12" t="s">
        <v>77</v>
      </c>
      <c r="AY299" s="150" t="s">
        <v>177</v>
      </c>
    </row>
    <row r="300" spans="2:51" s="12" customFormat="1" ht="11.25">
      <c r="B300" s="149"/>
      <c r="D300" s="142" t="s">
        <v>193</v>
      </c>
      <c r="E300" s="150" t="s">
        <v>3</v>
      </c>
      <c r="F300" s="151" t="s">
        <v>1091</v>
      </c>
      <c r="H300" s="152">
        <v>1.129</v>
      </c>
      <c r="I300" s="153"/>
      <c r="L300" s="149"/>
      <c r="M300" s="154"/>
      <c r="T300" s="155"/>
      <c r="AT300" s="150" t="s">
        <v>193</v>
      </c>
      <c r="AU300" s="150" t="s">
        <v>87</v>
      </c>
      <c r="AV300" s="12" t="s">
        <v>87</v>
      </c>
      <c r="AW300" s="12" t="s">
        <v>36</v>
      </c>
      <c r="AX300" s="12" t="s">
        <v>77</v>
      </c>
      <c r="AY300" s="150" t="s">
        <v>177</v>
      </c>
    </row>
    <row r="301" spans="2:51" s="12" customFormat="1" ht="11.25">
      <c r="B301" s="149"/>
      <c r="D301" s="142" t="s">
        <v>193</v>
      </c>
      <c r="E301" s="150" t="s">
        <v>3</v>
      </c>
      <c r="F301" s="151" t="s">
        <v>1092</v>
      </c>
      <c r="H301" s="152">
        <v>0.515</v>
      </c>
      <c r="I301" s="153"/>
      <c r="L301" s="149"/>
      <c r="M301" s="154"/>
      <c r="T301" s="155"/>
      <c r="AT301" s="150" t="s">
        <v>193</v>
      </c>
      <c r="AU301" s="150" t="s">
        <v>87</v>
      </c>
      <c r="AV301" s="12" t="s">
        <v>87</v>
      </c>
      <c r="AW301" s="12" t="s">
        <v>36</v>
      </c>
      <c r="AX301" s="12" t="s">
        <v>77</v>
      </c>
      <c r="AY301" s="150" t="s">
        <v>177</v>
      </c>
    </row>
    <row r="302" spans="2:51" s="12" customFormat="1" ht="11.25">
      <c r="B302" s="149"/>
      <c r="D302" s="142" t="s">
        <v>193</v>
      </c>
      <c r="E302" s="150" t="s">
        <v>3</v>
      </c>
      <c r="F302" s="151" t="s">
        <v>1093</v>
      </c>
      <c r="H302" s="152">
        <v>0.429</v>
      </c>
      <c r="I302" s="153"/>
      <c r="L302" s="149"/>
      <c r="M302" s="154"/>
      <c r="T302" s="155"/>
      <c r="AT302" s="150" t="s">
        <v>193</v>
      </c>
      <c r="AU302" s="150" t="s">
        <v>87</v>
      </c>
      <c r="AV302" s="12" t="s">
        <v>87</v>
      </c>
      <c r="AW302" s="12" t="s">
        <v>36</v>
      </c>
      <c r="AX302" s="12" t="s">
        <v>77</v>
      </c>
      <c r="AY302" s="150" t="s">
        <v>177</v>
      </c>
    </row>
    <row r="303" spans="2:51" s="13" customFormat="1" ht="11.25">
      <c r="B303" s="156"/>
      <c r="D303" s="142" t="s">
        <v>193</v>
      </c>
      <c r="E303" s="157" t="s">
        <v>3</v>
      </c>
      <c r="F303" s="158" t="s">
        <v>1094</v>
      </c>
      <c r="H303" s="157" t="s">
        <v>3</v>
      </c>
      <c r="I303" s="159"/>
      <c r="L303" s="156"/>
      <c r="M303" s="160"/>
      <c r="T303" s="161"/>
      <c r="AT303" s="157" t="s">
        <v>193</v>
      </c>
      <c r="AU303" s="157" t="s">
        <v>87</v>
      </c>
      <c r="AV303" s="13" t="s">
        <v>85</v>
      </c>
      <c r="AW303" s="13" t="s">
        <v>36</v>
      </c>
      <c r="AX303" s="13" t="s">
        <v>77</v>
      </c>
      <c r="AY303" s="157" t="s">
        <v>177</v>
      </c>
    </row>
    <row r="304" spans="2:51" s="12" customFormat="1" ht="11.25">
      <c r="B304" s="149"/>
      <c r="D304" s="142" t="s">
        <v>193</v>
      </c>
      <c r="E304" s="150" t="s">
        <v>3</v>
      </c>
      <c r="F304" s="151" t="s">
        <v>1095</v>
      </c>
      <c r="H304" s="152">
        <v>0.35</v>
      </c>
      <c r="I304" s="153"/>
      <c r="L304" s="149"/>
      <c r="M304" s="154"/>
      <c r="T304" s="155"/>
      <c r="AT304" s="150" t="s">
        <v>193</v>
      </c>
      <c r="AU304" s="150" t="s">
        <v>87</v>
      </c>
      <c r="AV304" s="12" t="s">
        <v>87</v>
      </c>
      <c r="AW304" s="12" t="s">
        <v>36</v>
      </c>
      <c r="AX304" s="12" t="s">
        <v>77</v>
      </c>
      <c r="AY304" s="150" t="s">
        <v>177</v>
      </c>
    </row>
    <row r="305" spans="2:51" s="15" customFormat="1" ht="11.25">
      <c r="B305" s="169"/>
      <c r="D305" s="142" t="s">
        <v>193</v>
      </c>
      <c r="E305" s="170" t="s">
        <v>3</v>
      </c>
      <c r="F305" s="171" t="s">
        <v>201</v>
      </c>
      <c r="H305" s="172">
        <v>3.778</v>
      </c>
      <c r="I305" s="173"/>
      <c r="L305" s="169"/>
      <c r="M305" s="174"/>
      <c r="T305" s="175"/>
      <c r="AT305" s="170" t="s">
        <v>193</v>
      </c>
      <c r="AU305" s="170" t="s">
        <v>87</v>
      </c>
      <c r="AV305" s="15" t="s">
        <v>185</v>
      </c>
      <c r="AW305" s="15" t="s">
        <v>36</v>
      </c>
      <c r="AX305" s="15" t="s">
        <v>85</v>
      </c>
      <c r="AY305" s="170" t="s">
        <v>177</v>
      </c>
    </row>
    <row r="306" spans="2:65" s="1" customFormat="1" ht="24.2" customHeight="1">
      <c r="B306" s="128"/>
      <c r="C306" s="129" t="s">
        <v>771</v>
      </c>
      <c r="D306" s="129" t="s">
        <v>180</v>
      </c>
      <c r="E306" s="130" t="s">
        <v>1096</v>
      </c>
      <c r="F306" s="131" t="s">
        <v>1097</v>
      </c>
      <c r="G306" s="132" t="s">
        <v>236</v>
      </c>
      <c r="H306" s="133">
        <v>15</v>
      </c>
      <c r="I306" s="134"/>
      <c r="J306" s="135">
        <f>ROUND(I306*H306,2)</f>
        <v>0</v>
      </c>
      <c r="K306" s="131" t="s">
        <v>184</v>
      </c>
      <c r="L306" s="33"/>
      <c r="M306" s="136" t="s">
        <v>3</v>
      </c>
      <c r="N306" s="137" t="s">
        <v>48</v>
      </c>
      <c r="P306" s="138">
        <f>O306*H306</f>
        <v>0</v>
      </c>
      <c r="Q306" s="138">
        <v>0</v>
      </c>
      <c r="R306" s="138">
        <f>Q306*H306</f>
        <v>0</v>
      </c>
      <c r="S306" s="138">
        <v>0.062</v>
      </c>
      <c r="T306" s="139">
        <f>S306*H306</f>
        <v>0.9299999999999999</v>
      </c>
      <c r="AR306" s="140" t="s">
        <v>185</v>
      </c>
      <c r="AT306" s="140" t="s">
        <v>180</v>
      </c>
      <c r="AU306" s="140" t="s">
        <v>87</v>
      </c>
      <c r="AY306" s="18" t="s">
        <v>177</v>
      </c>
      <c r="BE306" s="141">
        <f>IF(N306="základní",J306,0)</f>
        <v>0</v>
      </c>
      <c r="BF306" s="141">
        <f>IF(N306="snížená",J306,0)</f>
        <v>0</v>
      </c>
      <c r="BG306" s="141">
        <f>IF(N306="zákl. přenesená",J306,0)</f>
        <v>0</v>
      </c>
      <c r="BH306" s="141">
        <f>IF(N306="sníž. přenesená",J306,0)</f>
        <v>0</v>
      </c>
      <c r="BI306" s="141">
        <f>IF(N306="nulová",J306,0)</f>
        <v>0</v>
      </c>
      <c r="BJ306" s="18" t="s">
        <v>85</v>
      </c>
      <c r="BK306" s="141">
        <f>ROUND(I306*H306,2)</f>
        <v>0</v>
      </c>
      <c r="BL306" s="18" t="s">
        <v>185</v>
      </c>
      <c r="BM306" s="140" t="s">
        <v>1098</v>
      </c>
    </row>
    <row r="307" spans="2:47" s="1" customFormat="1" ht="19.5">
      <c r="B307" s="33"/>
      <c r="D307" s="142" t="s">
        <v>187</v>
      </c>
      <c r="F307" s="143" t="s">
        <v>1099</v>
      </c>
      <c r="I307" s="144"/>
      <c r="L307" s="33"/>
      <c r="M307" s="145"/>
      <c r="T307" s="54"/>
      <c r="AT307" s="18" t="s">
        <v>187</v>
      </c>
      <c r="AU307" s="18" t="s">
        <v>87</v>
      </c>
    </row>
    <row r="308" spans="2:47" s="1" customFormat="1" ht="11.25">
      <c r="B308" s="33"/>
      <c r="D308" s="146" t="s">
        <v>189</v>
      </c>
      <c r="F308" s="147" t="s">
        <v>1100</v>
      </c>
      <c r="I308" s="144"/>
      <c r="L308" s="33"/>
      <c r="M308" s="145"/>
      <c r="T308" s="54"/>
      <c r="AT308" s="18" t="s">
        <v>189</v>
      </c>
      <c r="AU308" s="18" t="s">
        <v>87</v>
      </c>
    </row>
    <row r="309" spans="2:51" s="13" customFormat="1" ht="11.25">
      <c r="B309" s="156"/>
      <c r="D309" s="142" t="s">
        <v>193</v>
      </c>
      <c r="E309" s="157" t="s">
        <v>3</v>
      </c>
      <c r="F309" s="158" t="s">
        <v>929</v>
      </c>
      <c r="H309" s="157" t="s">
        <v>3</v>
      </c>
      <c r="I309" s="159"/>
      <c r="L309" s="156"/>
      <c r="M309" s="160"/>
      <c r="T309" s="161"/>
      <c r="AT309" s="157" t="s">
        <v>193</v>
      </c>
      <c r="AU309" s="157" t="s">
        <v>87</v>
      </c>
      <c r="AV309" s="13" t="s">
        <v>85</v>
      </c>
      <c r="AW309" s="13" t="s">
        <v>36</v>
      </c>
      <c r="AX309" s="13" t="s">
        <v>77</v>
      </c>
      <c r="AY309" s="157" t="s">
        <v>177</v>
      </c>
    </row>
    <row r="310" spans="2:51" s="12" customFormat="1" ht="11.25">
      <c r="B310" s="149"/>
      <c r="D310" s="142" t="s">
        <v>193</v>
      </c>
      <c r="E310" s="150" t="s">
        <v>3</v>
      </c>
      <c r="F310" s="151" t="s">
        <v>1101</v>
      </c>
      <c r="H310" s="152">
        <v>10</v>
      </c>
      <c r="I310" s="153"/>
      <c r="L310" s="149"/>
      <c r="M310" s="154"/>
      <c r="T310" s="155"/>
      <c r="AT310" s="150" t="s">
        <v>193</v>
      </c>
      <c r="AU310" s="150" t="s">
        <v>87</v>
      </c>
      <c r="AV310" s="12" t="s">
        <v>87</v>
      </c>
      <c r="AW310" s="12" t="s">
        <v>36</v>
      </c>
      <c r="AX310" s="12" t="s">
        <v>77</v>
      </c>
      <c r="AY310" s="150" t="s">
        <v>177</v>
      </c>
    </row>
    <row r="311" spans="2:51" s="12" customFormat="1" ht="11.25">
      <c r="B311" s="149"/>
      <c r="D311" s="142" t="s">
        <v>193</v>
      </c>
      <c r="E311" s="150" t="s">
        <v>3</v>
      </c>
      <c r="F311" s="151" t="s">
        <v>1102</v>
      </c>
      <c r="H311" s="152">
        <v>5</v>
      </c>
      <c r="I311" s="153"/>
      <c r="L311" s="149"/>
      <c r="M311" s="154"/>
      <c r="T311" s="155"/>
      <c r="AT311" s="150" t="s">
        <v>193</v>
      </c>
      <c r="AU311" s="150" t="s">
        <v>87</v>
      </c>
      <c r="AV311" s="12" t="s">
        <v>87</v>
      </c>
      <c r="AW311" s="12" t="s">
        <v>36</v>
      </c>
      <c r="AX311" s="12" t="s">
        <v>77</v>
      </c>
      <c r="AY311" s="150" t="s">
        <v>177</v>
      </c>
    </row>
    <row r="312" spans="2:51" s="15" customFormat="1" ht="11.25">
      <c r="B312" s="169"/>
      <c r="D312" s="142" t="s">
        <v>193</v>
      </c>
      <c r="E312" s="170" t="s">
        <v>3</v>
      </c>
      <c r="F312" s="171" t="s">
        <v>201</v>
      </c>
      <c r="H312" s="172">
        <v>15</v>
      </c>
      <c r="I312" s="173"/>
      <c r="L312" s="169"/>
      <c r="M312" s="174"/>
      <c r="T312" s="175"/>
      <c r="AT312" s="170" t="s">
        <v>193</v>
      </c>
      <c r="AU312" s="170" t="s">
        <v>87</v>
      </c>
      <c r="AV312" s="15" t="s">
        <v>185</v>
      </c>
      <c r="AW312" s="15" t="s">
        <v>36</v>
      </c>
      <c r="AX312" s="15" t="s">
        <v>85</v>
      </c>
      <c r="AY312" s="170" t="s">
        <v>177</v>
      </c>
    </row>
    <row r="313" spans="2:65" s="1" customFormat="1" ht="33" customHeight="1">
      <c r="B313" s="128"/>
      <c r="C313" s="129" t="s">
        <v>780</v>
      </c>
      <c r="D313" s="129" t="s">
        <v>180</v>
      </c>
      <c r="E313" s="130" t="s">
        <v>700</v>
      </c>
      <c r="F313" s="131" t="s">
        <v>701</v>
      </c>
      <c r="G313" s="132" t="s">
        <v>476</v>
      </c>
      <c r="H313" s="133">
        <v>28</v>
      </c>
      <c r="I313" s="134"/>
      <c r="J313" s="135">
        <f>ROUND(I313*H313,2)</f>
        <v>0</v>
      </c>
      <c r="K313" s="131" t="s">
        <v>184</v>
      </c>
      <c r="L313" s="33"/>
      <c r="M313" s="136" t="s">
        <v>3</v>
      </c>
      <c r="N313" s="137" t="s">
        <v>48</v>
      </c>
      <c r="P313" s="138">
        <f>O313*H313</f>
        <v>0</v>
      </c>
      <c r="Q313" s="138">
        <v>0.0236305</v>
      </c>
      <c r="R313" s="138">
        <f>Q313*H313</f>
        <v>0.661654</v>
      </c>
      <c r="S313" s="138">
        <v>0</v>
      </c>
      <c r="T313" s="139">
        <f>S313*H313</f>
        <v>0</v>
      </c>
      <c r="AR313" s="140" t="s">
        <v>185</v>
      </c>
      <c r="AT313" s="140" t="s">
        <v>180</v>
      </c>
      <c r="AU313" s="140" t="s">
        <v>87</v>
      </c>
      <c r="AY313" s="18" t="s">
        <v>177</v>
      </c>
      <c r="BE313" s="141">
        <f>IF(N313="základní",J313,0)</f>
        <v>0</v>
      </c>
      <c r="BF313" s="141">
        <f>IF(N313="snížená",J313,0)</f>
        <v>0</v>
      </c>
      <c r="BG313" s="141">
        <f>IF(N313="zákl. přenesená",J313,0)</f>
        <v>0</v>
      </c>
      <c r="BH313" s="141">
        <f>IF(N313="sníž. přenesená",J313,0)</f>
        <v>0</v>
      </c>
      <c r="BI313" s="141">
        <f>IF(N313="nulová",J313,0)</f>
        <v>0</v>
      </c>
      <c r="BJ313" s="18" t="s">
        <v>85</v>
      </c>
      <c r="BK313" s="141">
        <f>ROUND(I313*H313,2)</f>
        <v>0</v>
      </c>
      <c r="BL313" s="18" t="s">
        <v>185</v>
      </c>
      <c r="BM313" s="140" t="s">
        <v>1103</v>
      </c>
    </row>
    <row r="314" spans="2:47" s="1" customFormat="1" ht="29.25">
      <c r="B314" s="33"/>
      <c r="D314" s="142" t="s">
        <v>187</v>
      </c>
      <c r="F314" s="143" t="s">
        <v>703</v>
      </c>
      <c r="I314" s="144"/>
      <c r="L314" s="33"/>
      <c r="M314" s="145"/>
      <c r="T314" s="54"/>
      <c r="AT314" s="18" t="s">
        <v>187</v>
      </c>
      <c r="AU314" s="18" t="s">
        <v>87</v>
      </c>
    </row>
    <row r="315" spans="2:47" s="1" customFormat="1" ht="11.25">
      <c r="B315" s="33"/>
      <c r="D315" s="146" t="s">
        <v>189</v>
      </c>
      <c r="F315" s="147" t="s">
        <v>704</v>
      </c>
      <c r="I315" s="144"/>
      <c r="L315" s="33"/>
      <c r="M315" s="145"/>
      <c r="T315" s="54"/>
      <c r="AT315" s="18" t="s">
        <v>189</v>
      </c>
      <c r="AU315" s="18" t="s">
        <v>87</v>
      </c>
    </row>
    <row r="316" spans="2:47" s="1" customFormat="1" ht="39">
      <c r="B316" s="33"/>
      <c r="D316" s="142" t="s">
        <v>191</v>
      </c>
      <c r="F316" s="148" t="s">
        <v>705</v>
      </c>
      <c r="I316" s="144"/>
      <c r="L316" s="33"/>
      <c r="M316" s="145"/>
      <c r="T316" s="54"/>
      <c r="AT316" s="18" t="s">
        <v>191</v>
      </c>
      <c r="AU316" s="18" t="s">
        <v>87</v>
      </c>
    </row>
    <row r="317" spans="2:51" s="13" customFormat="1" ht="11.25">
      <c r="B317" s="156"/>
      <c r="D317" s="142" t="s">
        <v>193</v>
      </c>
      <c r="E317" s="157" t="s">
        <v>3</v>
      </c>
      <c r="F317" s="158" t="s">
        <v>1104</v>
      </c>
      <c r="H317" s="157" t="s">
        <v>3</v>
      </c>
      <c r="I317" s="159"/>
      <c r="L317" s="156"/>
      <c r="M317" s="160"/>
      <c r="T317" s="161"/>
      <c r="AT317" s="157" t="s">
        <v>193</v>
      </c>
      <c r="AU317" s="157" t="s">
        <v>87</v>
      </c>
      <c r="AV317" s="13" t="s">
        <v>85</v>
      </c>
      <c r="AW317" s="13" t="s">
        <v>36</v>
      </c>
      <c r="AX317" s="13" t="s">
        <v>77</v>
      </c>
      <c r="AY317" s="157" t="s">
        <v>177</v>
      </c>
    </row>
    <row r="318" spans="2:51" s="12" customFormat="1" ht="11.25">
      <c r="B318" s="149"/>
      <c r="D318" s="142" t="s">
        <v>193</v>
      </c>
      <c r="E318" s="150" t="s">
        <v>3</v>
      </c>
      <c r="F318" s="151" t="s">
        <v>1105</v>
      </c>
      <c r="H318" s="152">
        <v>28</v>
      </c>
      <c r="I318" s="153"/>
      <c r="L318" s="149"/>
      <c r="M318" s="154"/>
      <c r="T318" s="155"/>
      <c r="AT318" s="150" t="s">
        <v>193</v>
      </c>
      <c r="AU318" s="150" t="s">
        <v>87</v>
      </c>
      <c r="AV318" s="12" t="s">
        <v>87</v>
      </c>
      <c r="AW318" s="12" t="s">
        <v>36</v>
      </c>
      <c r="AX318" s="12" t="s">
        <v>85</v>
      </c>
      <c r="AY318" s="150" t="s">
        <v>177</v>
      </c>
    </row>
    <row r="319" spans="2:65" s="1" customFormat="1" ht="37.9" customHeight="1">
      <c r="B319" s="128"/>
      <c r="C319" s="129" t="s">
        <v>786</v>
      </c>
      <c r="D319" s="129" t="s">
        <v>180</v>
      </c>
      <c r="E319" s="130" t="s">
        <v>706</v>
      </c>
      <c r="F319" s="131" t="s">
        <v>707</v>
      </c>
      <c r="G319" s="132" t="s">
        <v>476</v>
      </c>
      <c r="H319" s="133">
        <v>28</v>
      </c>
      <c r="I319" s="134"/>
      <c r="J319" s="135">
        <f>ROUND(I319*H319,2)</f>
        <v>0</v>
      </c>
      <c r="K319" s="131" t="s">
        <v>184</v>
      </c>
      <c r="L319" s="33"/>
      <c r="M319" s="136" t="s">
        <v>3</v>
      </c>
      <c r="N319" s="137" t="s">
        <v>48</v>
      </c>
      <c r="P319" s="138">
        <f>O319*H319</f>
        <v>0</v>
      </c>
      <c r="Q319" s="138">
        <v>0.0043225</v>
      </c>
      <c r="R319" s="138">
        <f>Q319*H319</f>
        <v>0.12103</v>
      </c>
      <c r="S319" s="138">
        <v>0</v>
      </c>
      <c r="T319" s="139">
        <f>S319*H319</f>
        <v>0</v>
      </c>
      <c r="AR319" s="140" t="s">
        <v>185</v>
      </c>
      <c r="AT319" s="140" t="s">
        <v>180</v>
      </c>
      <c r="AU319" s="140" t="s">
        <v>87</v>
      </c>
      <c r="AY319" s="18" t="s">
        <v>177</v>
      </c>
      <c r="BE319" s="141">
        <f>IF(N319="základní",J319,0)</f>
        <v>0</v>
      </c>
      <c r="BF319" s="141">
        <f>IF(N319="snížená",J319,0)</f>
        <v>0</v>
      </c>
      <c r="BG319" s="141">
        <f>IF(N319="zákl. přenesená",J319,0)</f>
        <v>0</v>
      </c>
      <c r="BH319" s="141">
        <f>IF(N319="sníž. přenesená",J319,0)</f>
        <v>0</v>
      </c>
      <c r="BI319" s="141">
        <f>IF(N319="nulová",J319,0)</f>
        <v>0</v>
      </c>
      <c r="BJ319" s="18" t="s">
        <v>85</v>
      </c>
      <c r="BK319" s="141">
        <f>ROUND(I319*H319,2)</f>
        <v>0</v>
      </c>
      <c r="BL319" s="18" t="s">
        <v>185</v>
      </c>
      <c r="BM319" s="140" t="s">
        <v>1106</v>
      </c>
    </row>
    <row r="320" spans="2:47" s="1" customFormat="1" ht="29.25">
      <c r="B320" s="33"/>
      <c r="D320" s="142" t="s">
        <v>187</v>
      </c>
      <c r="F320" s="143" t="s">
        <v>709</v>
      </c>
      <c r="I320" s="144"/>
      <c r="L320" s="33"/>
      <c r="M320" s="145"/>
      <c r="T320" s="54"/>
      <c r="AT320" s="18" t="s">
        <v>187</v>
      </c>
      <c r="AU320" s="18" t="s">
        <v>87</v>
      </c>
    </row>
    <row r="321" spans="2:47" s="1" customFormat="1" ht="11.25">
      <c r="B321" s="33"/>
      <c r="D321" s="146" t="s">
        <v>189</v>
      </c>
      <c r="F321" s="147" t="s">
        <v>710</v>
      </c>
      <c r="I321" s="144"/>
      <c r="L321" s="33"/>
      <c r="M321" s="145"/>
      <c r="T321" s="54"/>
      <c r="AT321" s="18" t="s">
        <v>189</v>
      </c>
      <c r="AU321" s="18" t="s">
        <v>87</v>
      </c>
    </row>
    <row r="322" spans="2:47" s="1" customFormat="1" ht="39">
      <c r="B322" s="33"/>
      <c r="D322" s="142" t="s">
        <v>191</v>
      </c>
      <c r="F322" s="148" t="s">
        <v>705</v>
      </c>
      <c r="I322" s="144"/>
      <c r="L322" s="33"/>
      <c r="M322" s="145"/>
      <c r="T322" s="54"/>
      <c r="AT322" s="18" t="s">
        <v>191</v>
      </c>
      <c r="AU322" s="18" t="s">
        <v>87</v>
      </c>
    </row>
    <row r="323" spans="2:65" s="1" customFormat="1" ht="37.9" customHeight="1">
      <c r="B323" s="128"/>
      <c r="C323" s="129" t="s">
        <v>793</v>
      </c>
      <c r="D323" s="129" t="s">
        <v>180</v>
      </c>
      <c r="E323" s="130" t="s">
        <v>1107</v>
      </c>
      <c r="F323" s="131" t="s">
        <v>1108</v>
      </c>
      <c r="G323" s="132" t="s">
        <v>332</v>
      </c>
      <c r="H323" s="133">
        <v>41.76</v>
      </c>
      <c r="I323" s="134"/>
      <c r="J323" s="135">
        <f>ROUND(I323*H323,2)</f>
        <v>0</v>
      </c>
      <c r="K323" s="131" t="s">
        <v>184</v>
      </c>
      <c r="L323" s="33"/>
      <c r="M323" s="136" t="s">
        <v>3</v>
      </c>
      <c r="N323" s="137" t="s">
        <v>48</v>
      </c>
      <c r="P323" s="138">
        <f>O323*H323</f>
        <v>0</v>
      </c>
      <c r="Q323" s="138">
        <v>0</v>
      </c>
      <c r="R323" s="138">
        <f>Q323*H323</f>
        <v>0</v>
      </c>
      <c r="S323" s="138">
        <v>0.05</v>
      </c>
      <c r="T323" s="139">
        <f>S323*H323</f>
        <v>2.088</v>
      </c>
      <c r="AR323" s="140" t="s">
        <v>185</v>
      </c>
      <c r="AT323" s="140" t="s">
        <v>180</v>
      </c>
      <c r="AU323" s="140" t="s">
        <v>87</v>
      </c>
      <c r="AY323" s="18" t="s">
        <v>177</v>
      </c>
      <c r="BE323" s="141">
        <f>IF(N323="základní",J323,0)</f>
        <v>0</v>
      </c>
      <c r="BF323" s="141">
        <f>IF(N323="snížená",J323,0)</f>
        <v>0</v>
      </c>
      <c r="BG323" s="141">
        <f>IF(N323="zákl. přenesená",J323,0)</f>
        <v>0</v>
      </c>
      <c r="BH323" s="141">
        <f>IF(N323="sníž. přenesená",J323,0)</f>
        <v>0</v>
      </c>
      <c r="BI323" s="141">
        <f>IF(N323="nulová",J323,0)</f>
        <v>0</v>
      </c>
      <c r="BJ323" s="18" t="s">
        <v>85</v>
      </c>
      <c r="BK323" s="141">
        <f>ROUND(I323*H323,2)</f>
        <v>0</v>
      </c>
      <c r="BL323" s="18" t="s">
        <v>185</v>
      </c>
      <c r="BM323" s="140" t="s">
        <v>1109</v>
      </c>
    </row>
    <row r="324" spans="2:47" s="1" customFormat="1" ht="19.5">
      <c r="B324" s="33"/>
      <c r="D324" s="142" t="s">
        <v>187</v>
      </c>
      <c r="F324" s="143" t="s">
        <v>1110</v>
      </c>
      <c r="I324" s="144"/>
      <c r="L324" s="33"/>
      <c r="M324" s="145"/>
      <c r="T324" s="54"/>
      <c r="AT324" s="18" t="s">
        <v>187</v>
      </c>
      <c r="AU324" s="18" t="s">
        <v>87</v>
      </c>
    </row>
    <row r="325" spans="2:47" s="1" customFormat="1" ht="11.25">
      <c r="B325" s="33"/>
      <c r="D325" s="146" t="s">
        <v>189</v>
      </c>
      <c r="F325" s="147" t="s">
        <v>1111</v>
      </c>
      <c r="I325" s="144"/>
      <c r="L325" s="33"/>
      <c r="M325" s="145"/>
      <c r="T325" s="54"/>
      <c r="AT325" s="18" t="s">
        <v>189</v>
      </c>
      <c r="AU325" s="18" t="s">
        <v>87</v>
      </c>
    </row>
    <row r="326" spans="2:47" s="1" customFormat="1" ht="39">
      <c r="B326" s="33"/>
      <c r="D326" s="142" t="s">
        <v>191</v>
      </c>
      <c r="F326" s="148" t="s">
        <v>1112</v>
      </c>
      <c r="I326" s="144"/>
      <c r="L326" s="33"/>
      <c r="M326" s="145"/>
      <c r="T326" s="54"/>
      <c r="AT326" s="18" t="s">
        <v>191</v>
      </c>
      <c r="AU326" s="18" t="s">
        <v>87</v>
      </c>
    </row>
    <row r="327" spans="2:65" s="1" customFormat="1" ht="24.2" customHeight="1">
      <c r="B327" s="128"/>
      <c r="C327" s="129" t="s">
        <v>799</v>
      </c>
      <c r="D327" s="129" t="s">
        <v>180</v>
      </c>
      <c r="E327" s="130" t="s">
        <v>345</v>
      </c>
      <c r="F327" s="131" t="s">
        <v>346</v>
      </c>
      <c r="G327" s="132" t="s">
        <v>332</v>
      </c>
      <c r="H327" s="133">
        <v>12.235</v>
      </c>
      <c r="I327" s="134"/>
      <c r="J327" s="135">
        <f>ROUND(I327*H327,2)</f>
        <v>0</v>
      </c>
      <c r="K327" s="131" t="s">
        <v>184</v>
      </c>
      <c r="L327" s="33"/>
      <c r="M327" s="136" t="s">
        <v>3</v>
      </c>
      <c r="N327" s="137" t="s">
        <v>48</v>
      </c>
      <c r="P327" s="138">
        <f>O327*H327</f>
        <v>0</v>
      </c>
      <c r="Q327" s="138">
        <v>0</v>
      </c>
      <c r="R327" s="138">
        <f>Q327*H327</f>
        <v>0</v>
      </c>
      <c r="S327" s="138">
        <v>0.066</v>
      </c>
      <c r="T327" s="139">
        <f>S327*H327</f>
        <v>0.80751</v>
      </c>
      <c r="AR327" s="140" t="s">
        <v>185</v>
      </c>
      <c r="AT327" s="140" t="s">
        <v>180</v>
      </c>
      <c r="AU327" s="140" t="s">
        <v>87</v>
      </c>
      <c r="AY327" s="18" t="s">
        <v>177</v>
      </c>
      <c r="BE327" s="141">
        <f>IF(N327="základní",J327,0)</f>
        <v>0</v>
      </c>
      <c r="BF327" s="141">
        <f>IF(N327="snížená",J327,0)</f>
        <v>0</v>
      </c>
      <c r="BG327" s="141">
        <f>IF(N327="zákl. přenesená",J327,0)</f>
        <v>0</v>
      </c>
      <c r="BH327" s="141">
        <f>IF(N327="sníž. přenesená",J327,0)</f>
        <v>0</v>
      </c>
      <c r="BI327" s="141">
        <f>IF(N327="nulová",J327,0)</f>
        <v>0</v>
      </c>
      <c r="BJ327" s="18" t="s">
        <v>85</v>
      </c>
      <c r="BK327" s="141">
        <f>ROUND(I327*H327,2)</f>
        <v>0</v>
      </c>
      <c r="BL327" s="18" t="s">
        <v>185</v>
      </c>
      <c r="BM327" s="140" t="s">
        <v>1113</v>
      </c>
    </row>
    <row r="328" spans="2:47" s="1" customFormat="1" ht="11.25">
      <c r="B328" s="33"/>
      <c r="D328" s="142" t="s">
        <v>187</v>
      </c>
      <c r="F328" s="143" t="s">
        <v>348</v>
      </c>
      <c r="I328" s="144"/>
      <c r="L328" s="33"/>
      <c r="M328" s="145"/>
      <c r="T328" s="54"/>
      <c r="AT328" s="18" t="s">
        <v>187</v>
      </c>
      <c r="AU328" s="18" t="s">
        <v>87</v>
      </c>
    </row>
    <row r="329" spans="2:47" s="1" customFormat="1" ht="11.25">
      <c r="B329" s="33"/>
      <c r="D329" s="146" t="s">
        <v>189</v>
      </c>
      <c r="F329" s="147" t="s">
        <v>349</v>
      </c>
      <c r="I329" s="144"/>
      <c r="L329" s="33"/>
      <c r="M329" s="145"/>
      <c r="T329" s="54"/>
      <c r="AT329" s="18" t="s">
        <v>189</v>
      </c>
      <c r="AU329" s="18" t="s">
        <v>87</v>
      </c>
    </row>
    <row r="330" spans="2:47" s="1" customFormat="1" ht="48.75">
      <c r="B330" s="33"/>
      <c r="D330" s="142" t="s">
        <v>191</v>
      </c>
      <c r="F330" s="148" t="s">
        <v>350</v>
      </c>
      <c r="I330" s="144"/>
      <c r="L330" s="33"/>
      <c r="M330" s="145"/>
      <c r="T330" s="54"/>
      <c r="AT330" s="18" t="s">
        <v>191</v>
      </c>
      <c r="AU330" s="18" t="s">
        <v>87</v>
      </c>
    </row>
    <row r="331" spans="2:51" s="12" customFormat="1" ht="11.25">
      <c r="B331" s="149"/>
      <c r="D331" s="142" t="s">
        <v>193</v>
      </c>
      <c r="E331" s="150" t="s">
        <v>3</v>
      </c>
      <c r="F331" s="151" t="s">
        <v>1114</v>
      </c>
      <c r="H331" s="152">
        <v>12.235</v>
      </c>
      <c r="I331" s="153"/>
      <c r="L331" s="149"/>
      <c r="M331" s="154"/>
      <c r="T331" s="155"/>
      <c r="AT331" s="150" t="s">
        <v>193</v>
      </c>
      <c r="AU331" s="150" t="s">
        <v>87</v>
      </c>
      <c r="AV331" s="12" t="s">
        <v>87</v>
      </c>
      <c r="AW331" s="12" t="s">
        <v>36</v>
      </c>
      <c r="AX331" s="12" t="s">
        <v>85</v>
      </c>
      <c r="AY331" s="150" t="s">
        <v>177</v>
      </c>
    </row>
    <row r="332" spans="2:65" s="1" customFormat="1" ht="24.2" customHeight="1">
      <c r="B332" s="128"/>
      <c r="C332" s="129" t="s">
        <v>1115</v>
      </c>
      <c r="D332" s="129" t="s">
        <v>180</v>
      </c>
      <c r="E332" s="130" t="s">
        <v>352</v>
      </c>
      <c r="F332" s="131" t="s">
        <v>353</v>
      </c>
      <c r="G332" s="132" t="s">
        <v>332</v>
      </c>
      <c r="H332" s="133">
        <v>16.313</v>
      </c>
      <c r="I332" s="134"/>
      <c r="J332" s="135">
        <f>ROUND(I332*H332,2)</f>
        <v>0</v>
      </c>
      <c r="K332" s="131" t="s">
        <v>184</v>
      </c>
      <c r="L332" s="33"/>
      <c r="M332" s="136" t="s">
        <v>3</v>
      </c>
      <c r="N332" s="137" t="s">
        <v>48</v>
      </c>
      <c r="P332" s="138">
        <f>O332*H332</f>
        <v>0</v>
      </c>
      <c r="Q332" s="138">
        <v>0</v>
      </c>
      <c r="R332" s="138">
        <f>Q332*H332</f>
        <v>0</v>
      </c>
      <c r="S332" s="138">
        <v>0.11</v>
      </c>
      <c r="T332" s="139">
        <f>S332*H332</f>
        <v>1.79443</v>
      </c>
      <c r="AR332" s="140" t="s">
        <v>185</v>
      </c>
      <c r="AT332" s="140" t="s">
        <v>180</v>
      </c>
      <c r="AU332" s="140" t="s">
        <v>87</v>
      </c>
      <c r="AY332" s="18" t="s">
        <v>177</v>
      </c>
      <c r="BE332" s="141">
        <f>IF(N332="základní",J332,0)</f>
        <v>0</v>
      </c>
      <c r="BF332" s="141">
        <f>IF(N332="snížená",J332,0)</f>
        <v>0</v>
      </c>
      <c r="BG332" s="141">
        <f>IF(N332="zákl. přenesená",J332,0)</f>
        <v>0</v>
      </c>
      <c r="BH332" s="141">
        <f>IF(N332="sníž. přenesená",J332,0)</f>
        <v>0</v>
      </c>
      <c r="BI332" s="141">
        <f>IF(N332="nulová",J332,0)</f>
        <v>0</v>
      </c>
      <c r="BJ332" s="18" t="s">
        <v>85</v>
      </c>
      <c r="BK332" s="141">
        <f>ROUND(I332*H332,2)</f>
        <v>0</v>
      </c>
      <c r="BL332" s="18" t="s">
        <v>185</v>
      </c>
      <c r="BM332" s="140" t="s">
        <v>1116</v>
      </c>
    </row>
    <row r="333" spans="2:47" s="1" customFormat="1" ht="11.25">
      <c r="B333" s="33"/>
      <c r="D333" s="142" t="s">
        <v>187</v>
      </c>
      <c r="F333" s="143" t="s">
        <v>355</v>
      </c>
      <c r="I333" s="144"/>
      <c r="L333" s="33"/>
      <c r="M333" s="145"/>
      <c r="T333" s="54"/>
      <c r="AT333" s="18" t="s">
        <v>187</v>
      </c>
      <c r="AU333" s="18" t="s">
        <v>87</v>
      </c>
    </row>
    <row r="334" spans="2:47" s="1" customFormat="1" ht="11.25">
      <c r="B334" s="33"/>
      <c r="D334" s="146" t="s">
        <v>189</v>
      </c>
      <c r="F334" s="147" t="s">
        <v>356</v>
      </c>
      <c r="I334" s="144"/>
      <c r="L334" s="33"/>
      <c r="M334" s="145"/>
      <c r="T334" s="54"/>
      <c r="AT334" s="18" t="s">
        <v>189</v>
      </c>
      <c r="AU334" s="18" t="s">
        <v>87</v>
      </c>
    </row>
    <row r="335" spans="2:47" s="1" customFormat="1" ht="48.75">
      <c r="B335" s="33"/>
      <c r="D335" s="142" t="s">
        <v>191</v>
      </c>
      <c r="F335" s="148" t="s">
        <v>350</v>
      </c>
      <c r="I335" s="144"/>
      <c r="L335" s="33"/>
      <c r="M335" s="145"/>
      <c r="T335" s="54"/>
      <c r="AT335" s="18" t="s">
        <v>191</v>
      </c>
      <c r="AU335" s="18" t="s">
        <v>87</v>
      </c>
    </row>
    <row r="336" spans="2:65" s="1" customFormat="1" ht="24.2" customHeight="1">
      <c r="B336" s="128"/>
      <c r="C336" s="129" t="s">
        <v>1117</v>
      </c>
      <c r="D336" s="129" t="s">
        <v>180</v>
      </c>
      <c r="E336" s="130" t="s">
        <v>1118</v>
      </c>
      <c r="F336" s="131" t="s">
        <v>1119</v>
      </c>
      <c r="G336" s="132" t="s">
        <v>332</v>
      </c>
      <c r="H336" s="133">
        <v>49.876</v>
      </c>
      <c r="I336" s="134"/>
      <c r="J336" s="135">
        <f>ROUND(I336*H336,2)</f>
        <v>0</v>
      </c>
      <c r="K336" s="131" t="s">
        <v>184</v>
      </c>
      <c r="L336" s="33"/>
      <c r="M336" s="136" t="s">
        <v>3</v>
      </c>
      <c r="N336" s="137" t="s">
        <v>48</v>
      </c>
      <c r="P336" s="138">
        <f>O336*H336</f>
        <v>0</v>
      </c>
      <c r="Q336" s="138">
        <v>0</v>
      </c>
      <c r="R336" s="138">
        <f>Q336*H336</f>
        <v>0</v>
      </c>
      <c r="S336" s="138">
        <v>0.066</v>
      </c>
      <c r="T336" s="139">
        <f>S336*H336</f>
        <v>3.291816</v>
      </c>
      <c r="AR336" s="140" t="s">
        <v>185</v>
      </c>
      <c r="AT336" s="140" t="s">
        <v>180</v>
      </c>
      <c r="AU336" s="140" t="s">
        <v>87</v>
      </c>
      <c r="AY336" s="18" t="s">
        <v>177</v>
      </c>
      <c r="BE336" s="141">
        <f>IF(N336="základní",J336,0)</f>
        <v>0</v>
      </c>
      <c r="BF336" s="141">
        <f>IF(N336="snížená",J336,0)</f>
        <v>0</v>
      </c>
      <c r="BG336" s="141">
        <f>IF(N336="zákl. přenesená",J336,0)</f>
        <v>0</v>
      </c>
      <c r="BH336" s="141">
        <f>IF(N336="sníž. přenesená",J336,0)</f>
        <v>0</v>
      </c>
      <c r="BI336" s="141">
        <f>IF(N336="nulová",J336,0)</f>
        <v>0</v>
      </c>
      <c r="BJ336" s="18" t="s">
        <v>85</v>
      </c>
      <c r="BK336" s="141">
        <f>ROUND(I336*H336,2)</f>
        <v>0</v>
      </c>
      <c r="BL336" s="18" t="s">
        <v>185</v>
      </c>
      <c r="BM336" s="140" t="s">
        <v>1120</v>
      </c>
    </row>
    <row r="337" spans="2:47" s="1" customFormat="1" ht="19.5">
      <c r="B337" s="33"/>
      <c r="D337" s="142" t="s">
        <v>187</v>
      </c>
      <c r="F337" s="143" t="s">
        <v>1121</v>
      </c>
      <c r="I337" s="144"/>
      <c r="L337" s="33"/>
      <c r="M337" s="145"/>
      <c r="T337" s="54"/>
      <c r="AT337" s="18" t="s">
        <v>187</v>
      </c>
      <c r="AU337" s="18" t="s">
        <v>87</v>
      </c>
    </row>
    <row r="338" spans="2:47" s="1" customFormat="1" ht="11.25">
      <c r="B338" s="33"/>
      <c r="D338" s="146" t="s">
        <v>189</v>
      </c>
      <c r="F338" s="147" t="s">
        <v>1122</v>
      </c>
      <c r="I338" s="144"/>
      <c r="L338" s="33"/>
      <c r="M338" s="145"/>
      <c r="T338" s="54"/>
      <c r="AT338" s="18" t="s">
        <v>189</v>
      </c>
      <c r="AU338" s="18" t="s">
        <v>87</v>
      </c>
    </row>
    <row r="339" spans="2:47" s="1" customFormat="1" ht="48.75">
      <c r="B339" s="33"/>
      <c r="D339" s="142" t="s">
        <v>191</v>
      </c>
      <c r="F339" s="148" t="s">
        <v>350</v>
      </c>
      <c r="I339" s="144"/>
      <c r="L339" s="33"/>
      <c r="M339" s="145"/>
      <c r="T339" s="54"/>
      <c r="AT339" s="18" t="s">
        <v>191</v>
      </c>
      <c r="AU339" s="18" t="s">
        <v>87</v>
      </c>
    </row>
    <row r="340" spans="2:51" s="12" customFormat="1" ht="11.25">
      <c r="B340" s="149"/>
      <c r="D340" s="142" t="s">
        <v>193</v>
      </c>
      <c r="E340" s="150" t="s">
        <v>3</v>
      </c>
      <c r="F340" s="151" t="s">
        <v>1123</v>
      </c>
      <c r="H340" s="152">
        <v>49.876</v>
      </c>
      <c r="I340" s="153"/>
      <c r="L340" s="149"/>
      <c r="M340" s="154"/>
      <c r="T340" s="155"/>
      <c r="AT340" s="150" t="s">
        <v>193</v>
      </c>
      <c r="AU340" s="150" t="s">
        <v>87</v>
      </c>
      <c r="AV340" s="12" t="s">
        <v>87</v>
      </c>
      <c r="AW340" s="12" t="s">
        <v>36</v>
      </c>
      <c r="AX340" s="12" t="s">
        <v>85</v>
      </c>
      <c r="AY340" s="150" t="s">
        <v>177</v>
      </c>
    </row>
    <row r="341" spans="2:65" s="1" customFormat="1" ht="24.2" customHeight="1">
      <c r="B341" s="128"/>
      <c r="C341" s="129" t="s">
        <v>1124</v>
      </c>
      <c r="D341" s="129" t="s">
        <v>180</v>
      </c>
      <c r="E341" s="130" t="s">
        <v>1125</v>
      </c>
      <c r="F341" s="131" t="s">
        <v>1126</v>
      </c>
      <c r="G341" s="132" t="s">
        <v>332</v>
      </c>
      <c r="H341" s="133">
        <v>66.502</v>
      </c>
      <c r="I341" s="134"/>
      <c r="J341" s="135">
        <f>ROUND(I341*H341,2)</f>
        <v>0</v>
      </c>
      <c r="K341" s="131" t="s">
        <v>184</v>
      </c>
      <c r="L341" s="33"/>
      <c r="M341" s="136" t="s">
        <v>3</v>
      </c>
      <c r="N341" s="137" t="s">
        <v>48</v>
      </c>
      <c r="P341" s="138">
        <f>O341*H341</f>
        <v>0</v>
      </c>
      <c r="Q341" s="138">
        <v>0</v>
      </c>
      <c r="R341" s="138">
        <f>Q341*H341</f>
        <v>0</v>
      </c>
      <c r="S341" s="138">
        <v>0.11</v>
      </c>
      <c r="T341" s="139">
        <f>S341*H341</f>
        <v>7.315219999999999</v>
      </c>
      <c r="AR341" s="140" t="s">
        <v>185</v>
      </c>
      <c r="AT341" s="140" t="s">
        <v>180</v>
      </c>
      <c r="AU341" s="140" t="s">
        <v>87</v>
      </c>
      <c r="AY341" s="18" t="s">
        <v>177</v>
      </c>
      <c r="BE341" s="141">
        <f>IF(N341="základní",J341,0)</f>
        <v>0</v>
      </c>
      <c r="BF341" s="141">
        <f>IF(N341="snížená",J341,0)</f>
        <v>0</v>
      </c>
      <c r="BG341" s="141">
        <f>IF(N341="zákl. přenesená",J341,0)</f>
        <v>0</v>
      </c>
      <c r="BH341" s="141">
        <f>IF(N341="sníž. přenesená",J341,0)</f>
        <v>0</v>
      </c>
      <c r="BI341" s="141">
        <f>IF(N341="nulová",J341,0)</f>
        <v>0</v>
      </c>
      <c r="BJ341" s="18" t="s">
        <v>85</v>
      </c>
      <c r="BK341" s="141">
        <f>ROUND(I341*H341,2)</f>
        <v>0</v>
      </c>
      <c r="BL341" s="18" t="s">
        <v>185</v>
      </c>
      <c r="BM341" s="140" t="s">
        <v>1127</v>
      </c>
    </row>
    <row r="342" spans="2:47" s="1" customFormat="1" ht="19.5">
      <c r="B342" s="33"/>
      <c r="D342" s="142" t="s">
        <v>187</v>
      </c>
      <c r="F342" s="143" t="s">
        <v>1128</v>
      </c>
      <c r="I342" s="144"/>
      <c r="L342" s="33"/>
      <c r="M342" s="145"/>
      <c r="T342" s="54"/>
      <c r="AT342" s="18" t="s">
        <v>187</v>
      </c>
      <c r="AU342" s="18" t="s">
        <v>87</v>
      </c>
    </row>
    <row r="343" spans="2:47" s="1" customFormat="1" ht="11.25">
      <c r="B343" s="33"/>
      <c r="D343" s="146" t="s">
        <v>189</v>
      </c>
      <c r="F343" s="147" t="s">
        <v>1129</v>
      </c>
      <c r="I343" s="144"/>
      <c r="L343" s="33"/>
      <c r="M343" s="145"/>
      <c r="T343" s="54"/>
      <c r="AT343" s="18" t="s">
        <v>189</v>
      </c>
      <c r="AU343" s="18" t="s">
        <v>87</v>
      </c>
    </row>
    <row r="344" spans="2:47" s="1" customFormat="1" ht="48.75">
      <c r="B344" s="33"/>
      <c r="D344" s="142" t="s">
        <v>191</v>
      </c>
      <c r="F344" s="148" t="s">
        <v>350</v>
      </c>
      <c r="I344" s="144"/>
      <c r="L344" s="33"/>
      <c r="M344" s="145"/>
      <c r="T344" s="54"/>
      <c r="AT344" s="18" t="s">
        <v>191</v>
      </c>
      <c r="AU344" s="18" t="s">
        <v>87</v>
      </c>
    </row>
    <row r="345" spans="2:65" s="1" customFormat="1" ht="33" customHeight="1">
      <c r="B345" s="128"/>
      <c r="C345" s="129" t="s">
        <v>1130</v>
      </c>
      <c r="D345" s="129" t="s">
        <v>180</v>
      </c>
      <c r="E345" s="130" t="s">
        <v>367</v>
      </c>
      <c r="F345" s="131" t="s">
        <v>368</v>
      </c>
      <c r="G345" s="132" t="s">
        <v>332</v>
      </c>
      <c r="H345" s="133">
        <v>144.926</v>
      </c>
      <c r="I345" s="134"/>
      <c r="J345" s="135">
        <f>ROUND(I345*H345,2)</f>
        <v>0</v>
      </c>
      <c r="K345" s="131" t="s">
        <v>184</v>
      </c>
      <c r="L345" s="33"/>
      <c r="M345" s="136" t="s">
        <v>3</v>
      </c>
      <c r="N345" s="137" t="s">
        <v>48</v>
      </c>
      <c r="P345" s="138">
        <f>O345*H345</f>
        <v>0</v>
      </c>
      <c r="Q345" s="138">
        <v>0</v>
      </c>
      <c r="R345" s="138">
        <f>Q345*H345</f>
        <v>0</v>
      </c>
      <c r="S345" s="138">
        <v>0.07</v>
      </c>
      <c r="T345" s="139">
        <f>S345*H345</f>
        <v>10.14482</v>
      </c>
      <c r="AR345" s="140" t="s">
        <v>185</v>
      </c>
      <c r="AT345" s="140" t="s">
        <v>180</v>
      </c>
      <c r="AU345" s="140" t="s">
        <v>87</v>
      </c>
      <c r="AY345" s="18" t="s">
        <v>177</v>
      </c>
      <c r="BE345" s="141">
        <f>IF(N345="základní",J345,0)</f>
        <v>0</v>
      </c>
      <c r="BF345" s="141">
        <f>IF(N345="snížená",J345,0)</f>
        <v>0</v>
      </c>
      <c r="BG345" s="141">
        <f>IF(N345="zákl. přenesená",J345,0)</f>
        <v>0</v>
      </c>
      <c r="BH345" s="141">
        <f>IF(N345="sníž. přenesená",J345,0)</f>
        <v>0</v>
      </c>
      <c r="BI345" s="141">
        <f>IF(N345="nulová",J345,0)</f>
        <v>0</v>
      </c>
      <c r="BJ345" s="18" t="s">
        <v>85</v>
      </c>
      <c r="BK345" s="141">
        <f>ROUND(I345*H345,2)</f>
        <v>0</v>
      </c>
      <c r="BL345" s="18" t="s">
        <v>185</v>
      </c>
      <c r="BM345" s="140" t="s">
        <v>1131</v>
      </c>
    </row>
    <row r="346" spans="2:47" s="1" customFormat="1" ht="19.5">
      <c r="B346" s="33"/>
      <c r="D346" s="142" t="s">
        <v>187</v>
      </c>
      <c r="F346" s="143" t="s">
        <v>370</v>
      </c>
      <c r="I346" s="144"/>
      <c r="L346" s="33"/>
      <c r="M346" s="145"/>
      <c r="T346" s="54"/>
      <c r="AT346" s="18" t="s">
        <v>187</v>
      </c>
      <c r="AU346" s="18" t="s">
        <v>87</v>
      </c>
    </row>
    <row r="347" spans="2:47" s="1" customFormat="1" ht="11.25">
      <c r="B347" s="33"/>
      <c r="D347" s="146" t="s">
        <v>189</v>
      </c>
      <c r="F347" s="147" t="s">
        <v>371</v>
      </c>
      <c r="I347" s="144"/>
      <c r="L347" s="33"/>
      <c r="M347" s="145"/>
      <c r="T347" s="54"/>
      <c r="AT347" s="18" t="s">
        <v>189</v>
      </c>
      <c r="AU347" s="18" t="s">
        <v>87</v>
      </c>
    </row>
    <row r="348" spans="2:47" s="1" customFormat="1" ht="78">
      <c r="B348" s="33"/>
      <c r="D348" s="142" t="s">
        <v>191</v>
      </c>
      <c r="F348" s="148" t="s">
        <v>372</v>
      </c>
      <c r="I348" s="144"/>
      <c r="L348" s="33"/>
      <c r="M348" s="145"/>
      <c r="T348" s="54"/>
      <c r="AT348" s="18" t="s">
        <v>191</v>
      </c>
      <c r="AU348" s="18" t="s">
        <v>87</v>
      </c>
    </row>
    <row r="349" spans="2:65" s="1" customFormat="1" ht="24.2" customHeight="1">
      <c r="B349" s="128"/>
      <c r="C349" s="129" t="s">
        <v>1132</v>
      </c>
      <c r="D349" s="129" t="s">
        <v>180</v>
      </c>
      <c r="E349" s="130" t="s">
        <v>378</v>
      </c>
      <c r="F349" s="131" t="s">
        <v>379</v>
      </c>
      <c r="G349" s="132" t="s">
        <v>332</v>
      </c>
      <c r="H349" s="133">
        <v>144.926</v>
      </c>
      <c r="I349" s="134"/>
      <c r="J349" s="135">
        <f>ROUND(I349*H349,2)</f>
        <v>0</v>
      </c>
      <c r="K349" s="131" t="s">
        <v>184</v>
      </c>
      <c r="L349" s="33"/>
      <c r="M349" s="136" t="s">
        <v>3</v>
      </c>
      <c r="N349" s="137" t="s">
        <v>48</v>
      </c>
      <c r="P349" s="138">
        <f>O349*H349</f>
        <v>0</v>
      </c>
      <c r="Q349" s="138">
        <v>0</v>
      </c>
      <c r="R349" s="138">
        <f>Q349*H349</f>
        <v>0</v>
      </c>
      <c r="S349" s="138">
        <v>0</v>
      </c>
      <c r="T349" s="139">
        <f>S349*H349</f>
        <v>0</v>
      </c>
      <c r="AR349" s="140" t="s">
        <v>185</v>
      </c>
      <c r="AT349" s="140" t="s">
        <v>180</v>
      </c>
      <c r="AU349" s="140" t="s">
        <v>87</v>
      </c>
      <c r="AY349" s="18" t="s">
        <v>177</v>
      </c>
      <c r="BE349" s="141">
        <f>IF(N349="základní",J349,0)</f>
        <v>0</v>
      </c>
      <c r="BF349" s="141">
        <f>IF(N349="snížená",J349,0)</f>
        <v>0</v>
      </c>
      <c r="BG349" s="141">
        <f>IF(N349="zákl. přenesená",J349,0)</f>
        <v>0</v>
      </c>
      <c r="BH349" s="141">
        <f>IF(N349="sníž. přenesená",J349,0)</f>
        <v>0</v>
      </c>
      <c r="BI349" s="141">
        <f>IF(N349="nulová",J349,0)</f>
        <v>0</v>
      </c>
      <c r="BJ349" s="18" t="s">
        <v>85</v>
      </c>
      <c r="BK349" s="141">
        <f>ROUND(I349*H349,2)</f>
        <v>0</v>
      </c>
      <c r="BL349" s="18" t="s">
        <v>185</v>
      </c>
      <c r="BM349" s="140" t="s">
        <v>1133</v>
      </c>
    </row>
    <row r="350" spans="2:47" s="1" customFormat="1" ht="19.5">
      <c r="B350" s="33"/>
      <c r="D350" s="142" t="s">
        <v>187</v>
      </c>
      <c r="F350" s="143" t="s">
        <v>381</v>
      </c>
      <c r="I350" s="144"/>
      <c r="L350" s="33"/>
      <c r="M350" s="145"/>
      <c r="T350" s="54"/>
      <c r="AT350" s="18" t="s">
        <v>187</v>
      </c>
      <c r="AU350" s="18" t="s">
        <v>87</v>
      </c>
    </row>
    <row r="351" spans="2:47" s="1" customFormat="1" ht="11.25">
      <c r="B351" s="33"/>
      <c r="D351" s="146" t="s">
        <v>189</v>
      </c>
      <c r="F351" s="147" t="s">
        <v>382</v>
      </c>
      <c r="I351" s="144"/>
      <c r="L351" s="33"/>
      <c r="M351" s="145"/>
      <c r="T351" s="54"/>
      <c r="AT351" s="18" t="s">
        <v>189</v>
      </c>
      <c r="AU351" s="18" t="s">
        <v>87</v>
      </c>
    </row>
    <row r="352" spans="2:47" s="1" customFormat="1" ht="78">
      <c r="B352" s="33"/>
      <c r="D352" s="142" t="s">
        <v>191</v>
      </c>
      <c r="F352" s="148" t="s">
        <v>383</v>
      </c>
      <c r="I352" s="144"/>
      <c r="L352" s="33"/>
      <c r="M352" s="145"/>
      <c r="T352" s="54"/>
      <c r="AT352" s="18" t="s">
        <v>191</v>
      </c>
      <c r="AU352" s="18" t="s">
        <v>87</v>
      </c>
    </row>
    <row r="353" spans="2:65" s="1" customFormat="1" ht="24.2" customHeight="1">
      <c r="B353" s="128"/>
      <c r="C353" s="129" t="s">
        <v>1134</v>
      </c>
      <c r="D353" s="129" t="s">
        <v>180</v>
      </c>
      <c r="E353" s="130" t="s">
        <v>1135</v>
      </c>
      <c r="F353" s="131" t="s">
        <v>1136</v>
      </c>
      <c r="G353" s="132" t="s">
        <v>332</v>
      </c>
      <c r="H353" s="133">
        <v>144.926</v>
      </c>
      <c r="I353" s="134"/>
      <c r="J353" s="135">
        <f>ROUND(I353*H353,2)</f>
        <v>0</v>
      </c>
      <c r="K353" s="131" t="s">
        <v>184</v>
      </c>
      <c r="L353" s="33"/>
      <c r="M353" s="136" t="s">
        <v>3</v>
      </c>
      <c r="N353" s="137" t="s">
        <v>48</v>
      </c>
      <c r="P353" s="138">
        <f>O353*H353</f>
        <v>0</v>
      </c>
      <c r="Q353" s="138">
        <v>0</v>
      </c>
      <c r="R353" s="138">
        <f>Q353*H353</f>
        <v>0</v>
      </c>
      <c r="S353" s="138">
        <v>0</v>
      </c>
      <c r="T353" s="139">
        <f>S353*H353</f>
        <v>0</v>
      </c>
      <c r="AR353" s="140" t="s">
        <v>185</v>
      </c>
      <c r="AT353" s="140" t="s">
        <v>180</v>
      </c>
      <c r="AU353" s="140" t="s">
        <v>87</v>
      </c>
      <c r="AY353" s="18" t="s">
        <v>177</v>
      </c>
      <c r="BE353" s="141">
        <f>IF(N353="základní",J353,0)</f>
        <v>0</v>
      </c>
      <c r="BF353" s="141">
        <f>IF(N353="snížená",J353,0)</f>
        <v>0</v>
      </c>
      <c r="BG353" s="141">
        <f>IF(N353="zákl. přenesená",J353,0)</f>
        <v>0</v>
      </c>
      <c r="BH353" s="141">
        <f>IF(N353="sníž. přenesená",J353,0)</f>
        <v>0</v>
      </c>
      <c r="BI353" s="141">
        <f>IF(N353="nulová",J353,0)</f>
        <v>0</v>
      </c>
      <c r="BJ353" s="18" t="s">
        <v>85</v>
      </c>
      <c r="BK353" s="141">
        <f>ROUND(I353*H353,2)</f>
        <v>0</v>
      </c>
      <c r="BL353" s="18" t="s">
        <v>185</v>
      </c>
      <c r="BM353" s="140" t="s">
        <v>1137</v>
      </c>
    </row>
    <row r="354" spans="2:47" s="1" customFormat="1" ht="11.25">
      <c r="B354" s="33"/>
      <c r="D354" s="142" t="s">
        <v>187</v>
      </c>
      <c r="F354" s="143" t="s">
        <v>1138</v>
      </c>
      <c r="I354" s="144"/>
      <c r="L354" s="33"/>
      <c r="M354" s="145"/>
      <c r="T354" s="54"/>
      <c r="AT354" s="18" t="s">
        <v>187</v>
      </c>
      <c r="AU354" s="18" t="s">
        <v>87</v>
      </c>
    </row>
    <row r="355" spans="2:47" s="1" customFormat="1" ht="11.25">
      <c r="B355" s="33"/>
      <c r="D355" s="146" t="s">
        <v>189</v>
      </c>
      <c r="F355" s="147" t="s">
        <v>1139</v>
      </c>
      <c r="I355" s="144"/>
      <c r="L355" s="33"/>
      <c r="M355" s="145"/>
      <c r="T355" s="54"/>
      <c r="AT355" s="18" t="s">
        <v>189</v>
      </c>
      <c r="AU355" s="18" t="s">
        <v>87</v>
      </c>
    </row>
    <row r="356" spans="2:47" s="1" customFormat="1" ht="78">
      <c r="B356" s="33"/>
      <c r="D356" s="142" t="s">
        <v>191</v>
      </c>
      <c r="F356" s="148" t="s">
        <v>383</v>
      </c>
      <c r="I356" s="144"/>
      <c r="L356" s="33"/>
      <c r="M356" s="145"/>
      <c r="T356" s="54"/>
      <c r="AT356" s="18" t="s">
        <v>191</v>
      </c>
      <c r="AU356" s="18" t="s">
        <v>87</v>
      </c>
    </row>
    <row r="357" spans="2:65" s="1" customFormat="1" ht="24.2" customHeight="1">
      <c r="B357" s="128"/>
      <c r="C357" s="129" t="s">
        <v>1140</v>
      </c>
      <c r="D357" s="129" t="s">
        <v>180</v>
      </c>
      <c r="E357" s="130" t="s">
        <v>391</v>
      </c>
      <c r="F357" s="131" t="s">
        <v>392</v>
      </c>
      <c r="G357" s="132" t="s">
        <v>332</v>
      </c>
      <c r="H357" s="133">
        <v>12.235</v>
      </c>
      <c r="I357" s="134"/>
      <c r="J357" s="135">
        <f>ROUND(I357*H357,2)</f>
        <v>0</v>
      </c>
      <c r="K357" s="131" t="s">
        <v>184</v>
      </c>
      <c r="L357" s="33"/>
      <c r="M357" s="136" t="s">
        <v>3</v>
      </c>
      <c r="N357" s="137" t="s">
        <v>48</v>
      </c>
      <c r="P357" s="138">
        <f>O357*H357</f>
        <v>0</v>
      </c>
      <c r="Q357" s="138">
        <v>0.03885</v>
      </c>
      <c r="R357" s="138">
        <f>Q357*H357</f>
        <v>0.47532975</v>
      </c>
      <c r="S357" s="138">
        <v>0</v>
      </c>
      <c r="T357" s="139">
        <f>S357*H357</f>
        <v>0</v>
      </c>
      <c r="AR357" s="140" t="s">
        <v>185</v>
      </c>
      <c r="AT357" s="140" t="s">
        <v>180</v>
      </c>
      <c r="AU357" s="140" t="s">
        <v>87</v>
      </c>
      <c r="AY357" s="18" t="s">
        <v>177</v>
      </c>
      <c r="BE357" s="141">
        <f>IF(N357="základní",J357,0)</f>
        <v>0</v>
      </c>
      <c r="BF357" s="141">
        <f>IF(N357="snížená",J357,0)</f>
        <v>0</v>
      </c>
      <c r="BG357" s="141">
        <f>IF(N357="zákl. přenesená",J357,0)</f>
        <v>0</v>
      </c>
      <c r="BH357" s="141">
        <f>IF(N357="sníž. přenesená",J357,0)</f>
        <v>0</v>
      </c>
      <c r="BI357" s="141">
        <f>IF(N357="nulová",J357,0)</f>
        <v>0</v>
      </c>
      <c r="BJ357" s="18" t="s">
        <v>85</v>
      </c>
      <c r="BK357" s="141">
        <f>ROUND(I357*H357,2)</f>
        <v>0</v>
      </c>
      <c r="BL357" s="18" t="s">
        <v>185</v>
      </c>
      <c r="BM357" s="140" t="s">
        <v>1141</v>
      </c>
    </row>
    <row r="358" spans="2:47" s="1" customFormat="1" ht="19.5">
      <c r="B358" s="33"/>
      <c r="D358" s="142" t="s">
        <v>187</v>
      </c>
      <c r="F358" s="143" t="s">
        <v>394</v>
      </c>
      <c r="I358" s="144"/>
      <c r="L358" s="33"/>
      <c r="M358" s="145"/>
      <c r="T358" s="54"/>
      <c r="AT358" s="18" t="s">
        <v>187</v>
      </c>
      <c r="AU358" s="18" t="s">
        <v>87</v>
      </c>
    </row>
    <row r="359" spans="2:47" s="1" customFormat="1" ht="11.25">
      <c r="B359" s="33"/>
      <c r="D359" s="146" t="s">
        <v>189</v>
      </c>
      <c r="F359" s="147" t="s">
        <v>395</v>
      </c>
      <c r="I359" s="144"/>
      <c r="L359" s="33"/>
      <c r="M359" s="145"/>
      <c r="T359" s="54"/>
      <c r="AT359" s="18" t="s">
        <v>189</v>
      </c>
      <c r="AU359" s="18" t="s">
        <v>87</v>
      </c>
    </row>
    <row r="360" spans="2:47" s="1" customFormat="1" ht="165.75">
      <c r="B360" s="33"/>
      <c r="D360" s="142" t="s">
        <v>191</v>
      </c>
      <c r="F360" s="148" t="s">
        <v>396</v>
      </c>
      <c r="I360" s="144"/>
      <c r="L360" s="33"/>
      <c r="M360" s="145"/>
      <c r="T360" s="54"/>
      <c r="AT360" s="18" t="s">
        <v>191</v>
      </c>
      <c r="AU360" s="18" t="s">
        <v>87</v>
      </c>
    </row>
    <row r="361" spans="2:51" s="13" customFormat="1" ht="11.25">
      <c r="B361" s="156"/>
      <c r="D361" s="142" t="s">
        <v>193</v>
      </c>
      <c r="E361" s="157" t="s">
        <v>3</v>
      </c>
      <c r="F361" s="158" t="s">
        <v>1142</v>
      </c>
      <c r="H361" s="157" t="s">
        <v>3</v>
      </c>
      <c r="I361" s="159"/>
      <c r="L361" s="156"/>
      <c r="M361" s="160"/>
      <c r="T361" s="161"/>
      <c r="AT361" s="157" t="s">
        <v>193</v>
      </c>
      <c r="AU361" s="157" t="s">
        <v>87</v>
      </c>
      <c r="AV361" s="13" t="s">
        <v>85</v>
      </c>
      <c r="AW361" s="13" t="s">
        <v>36</v>
      </c>
      <c r="AX361" s="13" t="s">
        <v>77</v>
      </c>
      <c r="AY361" s="157" t="s">
        <v>177</v>
      </c>
    </row>
    <row r="362" spans="2:51" s="12" customFormat="1" ht="11.25">
      <c r="B362" s="149"/>
      <c r="D362" s="142" t="s">
        <v>193</v>
      </c>
      <c r="E362" s="150" t="s">
        <v>3</v>
      </c>
      <c r="F362" s="151" t="s">
        <v>1143</v>
      </c>
      <c r="H362" s="152">
        <v>12.235</v>
      </c>
      <c r="I362" s="153"/>
      <c r="L362" s="149"/>
      <c r="M362" s="154"/>
      <c r="T362" s="155"/>
      <c r="AT362" s="150" t="s">
        <v>193</v>
      </c>
      <c r="AU362" s="150" t="s">
        <v>87</v>
      </c>
      <c r="AV362" s="12" t="s">
        <v>87</v>
      </c>
      <c r="AW362" s="12" t="s">
        <v>36</v>
      </c>
      <c r="AX362" s="12" t="s">
        <v>85</v>
      </c>
      <c r="AY362" s="150" t="s">
        <v>177</v>
      </c>
    </row>
    <row r="363" spans="2:65" s="1" customFormat="1" ht="24.2" customHeight="1">
      <c r="B363" s="128"/>
      <c r="C363" s="129" t="s">
        <v>1144</v>
      </c>
      <c r="D363" s="129" t="s">
        <v>180</v>
      </c>
      <c r="E363" s="130" t="s">
        <v>405</v>
      </c>
      <c r="F363" s="131" t="s">
        <v>406</v>
      </c>
      <c r="G363" s="132" t="s">
        <v>332</v>
      </c>
      <c r="H363" s="133">
        <v>16.313</v>
      </c>
      <c r="I363" s="134"/>
      <c r="J363" s="135">
        <f>ROUND(I363*H363,2)</f>
        <v>0</v>
      </c>
      <c r="K363" s="131" t="s">
        <v>184</v>
      </c>
      <c r="L363" s="33"/>
      <c r="M363" s="136" t="s">
        <v>3</v>
      </c>
      <c r="N363" s="137" t="s">
        <v>48</v>
      </c>
      <c r="P363" s="138">
        <f>O363*H363</f>
        <v>0</v>
      </c>
      <c r="Q363" s="138">
        <v>0.08057</v>
      </c>
      <c r="R363" s="138">
        <f>Q363*H363</f>
        <v>1.31433841</v>
      </c>
      <c r="S363" s="138">
        <v>0</v>
      </c>
      <c r="T363" s="139">
        <f>S363*H363</f>
        <v>0</v>
      </c>
      <c r="AR363" s="140" t="s">
        <v>185</v>
      </c>
      <c r="AT363" s="140" t="s">
        <v>180</v>
      </c>
      <c r="AU363" s="140" t="s">
        <v>87</v>
      </c>
      <c r="AY363" s="18" t="s">
        <v>177</v>
      </c>
      <c r="BE363" s="141">
        <f>IF(N363="základní",J363,0)</f>
        <v>0</v>
      </c>
      <c r="BF363" s="141">
        <f>IF(N363="snížená",J363,0)</f>
        <v>0</v>
      </c>
      <c r="BG363" s="141">
        <f>IF(N363="zákl. přenesená",J363,0)</f>
        <v>0</v>
      </c>
      <c r="BH363" s="141">
        <f>IF(N363="sníž. přenesená",J363,0)</f>
        <v>0</v>
      </c>
      <c r="BI363" s="141">
        <f>IF(N363="nulová",J363,0)</f>
        <v>0</v>
      </c>
      <c r="BJ363" s="18" t="s">
        <v>85</v>
      </c>
      <c r="BK363" s="141">
        <f>ROUND(I363*H363,2)</f>
        <v>0</v>
      </c>
      <c r="BL363" s="18" t="s">
        <v>185</v>
      </c>
      <c r="BM363" s="140" t="s">
        <v>1145</v>
      </c>
    </row>
    <row r="364" spans="2:47" s="1" customFormat="1" ht="19.5">
      <c r="B364" s="33"/>
      <c r="D364" s="142" t="s">
        <v>187</v>
      </c>
      <c r="F364" s="143" t="s">
        <v>408</v>
      </c>
      <c r="I364" s="144"/>
      <c r="L364" s="33"/>
      <c r="M364" s="145"/>
      <c r="T364" s="54"/>
      <c r="AT364" s="18" t="s">
        <v>187</v>
      </c>
      <c r="AU364" s="18" t="s">
        <v>87</v>
      </c>
    </row>
    <row r="365" spans="2:47" s="1" customFormat="1" ht="11.25">
      <c r="B365" s="33"/>
      <c r="D365" s="146" t="s">
        <v>189</v>
      </c>
      <c r="F365" s="147" t="s">
        <v>409</v>
      </c>
      <c r="I365" s="144"/>
      <c r="L365" s="33"/>
      <c r="M365" s="145"/>
      <c r="T365" s="54"/>
      <c r="AT365" s="18" t="s">
        <v>189</v>
      </c>
      <c r="AU365" s="18" t="s">
        <v>87</v>
      </c>
    </row>
    <row r="366" spans="2:47" s="1" customFormat="1" ht="165.75">
      <c r="B366" s="33"/>
      <c r="D366" s="142" t="s">
        <v>191</v>
      </c>
      <c r="F366" s="148" t="s">
        <v>396</v>
      </c>
      <c r="I366" s="144"/>
      <c r="L366" s="33"/>
      <c r="M366" s="145"/>
      <c r="T366" s="54"/>
      <c r="AT366" s="18" t="s">
        <v>191</v>
      </c>
      <c r="AU366" s="18" t="s">
        <v>87</v>
      </c>
    </row>
    <row r="367" spans="2:51" s="13" customFormat="1" ht="11.25">
      <c r="B367" s="156"/>
      <c r="D367" s="142" t="s">
        <v>193</v>
      </c>
      <c r="E367" s="157" t="s">
        <v>3</v>
      </c>
      <c r="F367" s="158" t="s">
        <v>1146</v>
      </c>
      <c r="H367" s="157" t="s">
        <v>3</v>
      </c>
      <c r="I367" s="159"/>
      <c r="L367" s="156"/>
      <c r="M367" s="160"/>
      <c r="T367" s="161"/>
      <c r="AT367" s="157" t="s">
        <v>193</v>
      </c>
      <c r="AU367" s="157" t="s">
        <v>87</v>
      </c>
      <c r="AV367" s="13" t="s">
        <v>85</v>
      </c>
      <c r="AW367" s="13" t="s">
        <v>36</v>
      </c>
      <c r="AX367" s="13" t="s">
        <v>77</v>
      </c>
      <c r="AY367" s="157" t="s">
        <v>177</v>
      </c>
    </row>
    <row r="368" spans="2:51" s="12" customFormat="1" ht="11.25">
      <c r="B368" s="149"/>
      <c r="D368" s="142" t="s">
        <v>193</v>
      </c>
      <c r="E368" s="150" t="s">
        <v>3</v>
      </c>
      <c r="F368" s="151" t="s">
        <v>1147</v>
      </c>
      <c r="H368" s="152">
        <v>16.313</v>
      </c>
      <c r="I368" s="153"/>
      <c r="L368" s="149"/>
      <c r="M368" s="154"/>
      <c r="T368" s="155"/>
      <c r="AT368" s="150" t="s">
        <v>193</v>
      </c>
      <c r="AU368" s="150" t="s">
        <v>87</v>
      </c>
      <c r="AV368" s="12" t="s">
        <v>87</v>
      </c>
      <c r="AW368" s="12" t="s">
        <v>36</v>
      </c>
      <c r="AX368" s="12" t="s">
        <v>85</v>
      </c>
      <c r="AY368" s="150" t="s">
        <v>177</v>
      </c>
    </row>
    <row r="369" spans="2:65" s="1" customFormat="1" ht="24.2" customHeight="1">
      <c r="B369" s="128"/>
      <c r="C369" s="129" t="s">
        <v>1148</v>
      </c>
      <c r="D369" s="129" t="s">
        <v>180</v>
      </c>
      <c r="E369" s="130" t="s">
        <v>1149</v>
      </c>
      <c r="F369" s="131" t="s">
        <v>1150</v>
      </c>
      <c r="G369" s="132" t="s">
        <v>332</v>
      </c>
      <c r="H369" s="133">
        <v>49.876</v>
      </c>
      <c r="I369" s="134"/>
      <c r="J369" s="135">
        <f>ROUND(I369*H369,2)</f>
        <v>0</v>
      </c>
      <c r="K369" s="131" t="s">
        <v>184</v>
      </c>
      <c r="L369" s="33"/>
      <c r="M369" s="136" t="s">
        <v>3</v>
      </c>
      <c r="N369" s="137" t="s">
        <v>48</v>
      </c>
      <c r="P369" s="138">
        <f>O369*H369</f>
        <v>0</v>
      </c>
      <c r="Q369" s="138">
        <v>0.04029</v>
      </c>
      <c r="R369" s="138">
        <f>Q369*H369</f>
        <v>2.00950404</v>
      </c>
      <c r="S369" s="138">
        <v>0</v>
      </c>
      <c r="T369" s="139">
        <f>S369*H369</f>
        <v>0</v>
      </c>
      <c r="AR369" s="140" t="s">
        <v>185</v>
      </c>
      <c r="AT369" s="140" t="s">
        <v>180</v>
      </c>
      <c r="AU369" s="140" t="s">
        <v>87</v>
      </c>
      <c r="AY369" s="18" t="s">
        <v>177</v>
      </c>
      <c r="BE369" s="141">
        <f>IF(N369="základní",J369,0)</f>
        <v>0</v>
      </c>
      <c r="BF369" s="141">
        <f>IF(N369="snížená",J369,0)</f>
        <v>0</v>
      </c>
      <c r="BG369" s="141">
        <f>IF(N369="zákl. přenesená",J369,0)</f>
        <v>0</v>
      </c>
      <c r="BH369" s="141">
        <f>IF(N369="sníž. přenesená",J369,0)</f>
        <v>0</v>
      </c>
      <c r="BI369" s="141">
        <f>IF(N369="nulová",J369,0)</f>
        <v>0</v>
      </c>
      <c r="BJ369" s="18" t="s">
        <v>85</v>
      </c>
      <c r="BK369" s="141">
        <f>ROUND(I369*H369,2)</f>
        <v>0</v>
      </c>
      <c r="BL369" s="18" t="s">
        <v>185</v>
      </c>
      <c r="BM369" s="140" t="s">
        <v>1151</v>
      </c>
    </row>
    <row r="370" spans="2:47" s="1" customFormat="1" ht="19.5">
      <c r="B370" s="33"/>
      <c r="D370" s="142" t="s">
        <v>187</v>
      </c>
      <c r="F370" s="143" t="s">
        <v>1152</v>
      </c>
      <c r="I370" s="144"/>
      <c r="L370" s="33"/>
      <c r="M370" s="145"/>
      <c r="T370" s="54"/>
      <c r="AT370" s="18" t="s">
        <v>187</v>
      </c>
      <c r="AU370" s="18" t="s">
        <v>87</v>
      </c>
    </row>
    <row r="371" spans="2:47" s="1" customFormat="1" ht="11.25">
      <c r="B371" s="33"/>
      <c r="D371" s="146" t="s">
        <v>189</v>
      </c>
      <c r="F371" s="147" t="s">
        <v>1153</v>
      </c>
      <c r="I371" s="144"/>
      <c r="L371" s="33"/>
      <c r="M371" s="145"/>
      <c r="T371" s="54"/>
      <c r="AT371" s="18" t="s">
        <v>189</v>
      </c>
      <c r="AU371" s="18" t="s">
        <v>87</v>
      </c>
    </row>
    <row r="372" spans="2:47" s="1" customFormat="1" ht="165.75">
      <c r="B372" s="33"/>
      <c r="D372" s="142" t="s">
        <v>191</v>
      </c>
      <c r="F372" s="148" t="s">
        <v>396</v>
      </c>
      <c r="I372" s="144"/>
      <c r="L372" s="33"/>
      <c r="M372" s="145"/>
      <c r="T372" s="54"/>
      <c r="AT372" s="18" t="s">
        <v>191</v>
      </c>
      <c r="AU372" s="18" t="s">
        <v>87</v>
      </c>
    </row>
    <row r="373" spans="2:51" s="13" customFormat="1" ht="11.25">
      <c r="B373" s="156"/>
      <c r="D373" s="142" t="s">
        <v>193</v>
      </c>
      <c r="E373" s="157" t="s">
        <v>3</v>
      </c>
      <c r="F373" s="158" t="s">
        <v>1154</v>
      </c>
      <c r="H373" s="157" t="s">
        <v>3</v>
      </c>
      <c r="I373" s="159"/>
      <c r="L373" s="156"/>
      <c r="M373" s="160"/>
      <c r="T373" s="161"/>
      <c r="AT373" s="157" t="s">
        <v>193</v>
      </c>
      <c r="AU373" s="157" t="s">
        <v>87</v>
      </c>
      <c r="AV373" s="13" t="s">
        <v>85</v>
      </c>
      <c r="AW373" s="13" t="s">
        <v>36</v>
      </c>
      <c r="AX373" s="13" t="s">
        <v>77</v>
      </c>
      <c r="AY373" s="157" t="s">
        <v>177</v>
      </c>
    </row>
    <row r="374" spans="2:51" s="12" customFormat="1" ht="11.25">
      <c r="B374" s="149"/>
      <c r="D374" s="142" t="s">
        <v>193</v>
      </c>
      <c r="E374" s="150" t="s">
        <v>3</v>
      </c>
      <c r="F374" s="151" t="s">
        <v>1155</v>
      </c>
      <c r="H374" s="152">
        <v>49.876</v>
      </c>
      <c r="I374" s="153"/>
      <c r="L374" s="149"/>
      <c r="M374" s="154"/>
      <c r="T374" s="155"/>
      <c r="AT374" s="150" t="s">
        <v>193</v>
      </c>
      <c r="AU374" s="150" t="s">
        <v>87</v>
      </c>
      <c r="AV374" s="12" t="s">
        <v>87</v>
      </c>
      <c r="AW374" s="12" t="s">
        <v>36</v>
      </c>
      <c r="AX374" s="12" t="s">
        <v>85</v>
      </c>
      <c r="AY374" s="150" t="s">
        <v>177</v>
      </c>
    </row>
    <row r="375" spans="2:65" s="1" customFormat="1" ht="24.2" customHeight="1">
      <c r="B375" s="128"/>
      <c r="C375" s="129" t="s">
        <v>1156</v>
      </c>
      <c r="D375" s="129" t="s">
        <v>180</v>
      </c>
      <c r="E375" s="130" t="s">
        <v>1157</v>
      </c>
      <c r="F375" s="131" t="s">
        <v>1158</v>
      </c>
      <c r="G375" s="132" t="s">
        <v>332</v>
      </c>
      <c r="H375" s="133">
        <v>66.502</v>
      </c>
      <c r="I375" s="134"/>
      <c r="J375" s="135">
        <f>ROUND(I375*H375,2)</f>
        <v>0</v>
      </c>
      <c r="K375" s="131" t="s">
        <v>184</v>
      </c>
      <c r="L375" s="33"/>
      <c r="M375" s="136" t="s">
        <v>3</v>
      </c>
      <c r="N375" s="137" t="s">
        <v>48</v>
      </c>
      <c r="P375" s="138">
        <f>O375*H375</f>
        <v>0</v>
      </c>
      <c r="Q375" s="138">
        <v>0.08374</v>
      </c>
      <c r="R375" s="138">
        <f>Q375*H375</f>
        <v>5.568877479999999</v>
      </c>
      <c r="S375" s="138">
        <v>0</v>
      </c>
      <c r="T375" s="139">
        <f>S375*H375</f>
        <v>0</v>
      </c>
      <c r="AR375" s="140" t="s">
        <v>185</v>
      </c>
      <c r="AT375" s="140" t="s">
        <v>180</v>
      </c>
      <c r="AU375" s="140" t="s">
        <v>87</v>
      </c>
      <c r="AY375" s="18" t="s">
        <v>177</v>
      </c>
      <c r="BE375" s="141">
        <f>IF(N375="základní",J375,0)</f>
        <v>0</v>
      </c>
      <c r="BF375" s="141">
        <f>IF(N375="snížená",J375,0)</f>
        <v>0</v>
      </c>
      <c r="BG375" s="141">
        <f>IF(N375="zákl. přenesená",J375,0)</f>
        <v>0</v>
      </c>
      <c r="BH375" s="141">
        <f>IF(N375="sníž. přenesená",J375,0)</f>
        <v>0</v>
      </c>
      <c r="BI375" s="141">
        <f>IF(N375="nulová",J375,0)</f>
        <v>0</v>
      </c>
      <c r="BJ375" s="18" t="s">
        <v>85</v>
      </c>
      <c r="BK375" s="141">
        <f>ROUND(I375*H375,2)</f>
        <v>0</v>
      </c>
      <c r="BL375" s="18" t="s">
        <v>185</v>
      </c>
      <c r="BM375" s="140" t="s">
        <v>1159</v>
      </c>
    </row>
    <row r="376" spans="2:47" s="1" customFormat="1" ht="19.5">
      <c r="B376" s="33"/>
      <c r="D376" s="142" t="s">
        <v>187</v>
      </c>
      <c r="F376" s="143" t="s">
        <v>1160</v>
      </c>
      <c r="I376" s="144"/>
      <c r="L376" s="33"/>
      <c r="M376" s="145"/>
      <c r="T376" s="54"/>
      <c r="AT376" s="18" t="s">
        <v>187</v>
      </c>
      <c r="AU376" s="18" t="s">
        <v>87</v>
      </c>
    </row>
    <row r="377" spans="2:47" s="1" customFormat="1" ht="11.25">
      <c r="B377" s="33"/>
      <c r="D377" s="146" t="s">
        <v>189</v>
      </c>
      <c r="F377" s="147" t="s">
        <v>1161</v>
      </c>
      <c r="I377" s="144"/>
      <c r="L377" s="33"/>
      <c r="M377" s="145"/>
      <c r="T377" s="54"/>
      <c r="AT377" s="18" t="s">
        <v>189</v>
      </c>
      <c r="AU377" s="18" t="s">
        <v>87</v>
      </c>
    </row>
    <row r="378" spans="2:47" s="1" customFormat="1" ht="165.75">
      <c r="B378" s="33"/>
      <c r="D378" s="142" t="s">
        <v>191</v>
      </c>
      <c r="F378" s="148" t="s">
        <v>396</v>
      </c>
      <c r="I378" s="144"/>
      <c r="L378" s="33"/>
      <c r="M378" s="145"/>
      <c r="T378" s="54"/>
      <c r="AT378" s="18" t="s">
        <v>191</v>
      </c>
      <c r="AU378" s="18" t="s">
        <v>87</v>
      </c>
    </row>
    <row r="379" spans="2:51" s="13" customFormat="1" ht="11.25">
      <c r="B379" s="156"/>
      <c r="D379" s="142" t="s">
        <v>193</v>
      </c>
      <c r="E379" s="157" t="s">
        <v>3</v>
      </c>
      <c r="F379" s="158" t="s">
        <v>1162</v>
      </c>
      <c r="H379" s="157" t="s">
        <v>3</v>
      </c>
      <c r="I379" s="159"/>
      <c r="L379" s="156"/>
      <c r="M379" s="160"/>
      <c r="T379" s="161"/>
      <c r="AT379" s="157" t="s">
        <v>193</v>
      </c>
      <c r="AU379" s="157" t="s">
        <v>87</v>
      </c>
      <c r="AV379" s="13" t="s">
        <v>85</v>
      </c>
      <c r="AW379" s="13" t="s">
        <v>36</v>
      </c>
      <c r="AX379" s="13" t="s">
        <v>77</v>
      </c>
      <c r="AY379" s="157" t="s">
        <v>177</v>
      </c>
    </row>
    <row r="380" spans="2:51" s="12" customFormat="1" ht="11.25">
      <c r="B380" s="149"/>
      <c r="D380" s="142" t="s">
        <v>193</v>
      </c>
      <c r="E380" s="150" t="s">
        <v>3</v>
      </c>
      <c r="F380" s="151" t="s">
        <v>1163</v>
      </c>
      <c r="H380" s="152">
        <v>66.502</v>
      </c>
      <c r="I380" s="153"/>
      <c r="L380" s="149"/>
      <c r="M380" s="154"/>
      <c r="T380" s="155"/>
      <c r="AT380" s="150" t="s">
        <v>193</v>
      </c>
      <c r="AU380" s="150" t="s">
        <v>87</v>
      </c>
      <c r="AV380" s="12" t="s">
        <v>87</v>
      </c>
      <c r="AW380" s="12" t="s">
        <v>36</v>
      </c>
      <c r="AX380" s="12" t="s">
        <v>85</v>
      </c>
      <c r="AY380" s="150" t="s">
        <v>177</v>
      </c>
    </row>
    <row r="381" spans="2:65" s="1" customFormat="1" ht="24.2" customHeight="1">
      <c r="B381" s="128"/>
      <c r="C381" s="129" t="s">
        <v>1164</v>
      </c>
      <c r="D381" s="129" t="s">
        <v>180</v>
      </c>
      <c r="E381" s="130" t="s">
        <v>454</v>
      </c>
      <c r="F381" s="131" t="s">
        <v>455</v>
      </c>
      <c r="G381" s="132" t="s">
        <v>332</v>
      </c>
      <c r="H381" s="133">
        <v>16.313</v>
      </c>
      <c r="I381" s="134"/>
      <c r="J381" s="135">
        <f>ROUND(I381*H381,2)</f>
        <v>0</v>
      </c>
      <c r="K381" s="131" t="s">
        <v>184</v>
      </c>
      <c r="L381" s="33"/>
      <c r="M381" s="136" t="s">
        <v>3</v>
      </c>
      <c r="N381" s="137" t="s">
        <v>48</v>
      </c>
      <c r="P381" s="138">
        <f>O381*H381</f>
        <v>0</v>
      </c>
      <c r="Q381" s="138">
        <v>0.00153</v>
      </c>
      <c r="R381" s="138">
        <f>Q381*H381</f>
        <v>0.024958889999999997</v>
      </c>
      <c r="S381" s="138">
        <v>0</v>
      </c>
      <c r="T381" s="139">
        <f>S381*H381</f>
        <v>0</v>
      </c>
      <c r="AR381" s="140" t="s">
        <v>185</v>
      </c>
      <c r="AT381" s="140" t="s">
        <v>180</v>
      </c>
      <c r="AU381" s="140" t="s">
        <v>87</v>
      </c>
      <c r="AY381" s="18" t="s">
        <v>177</v>
      </c>
      <c r="BE381" s="141">
        <f>IF(N381="základní",J381,0)</f>
        <v>0</v>
      </c>
      <c r="BF381" s="141">
        <f>IF(N381="snížená",J381,0)</f>
        <v>0</v>
      </c>
      <c r="BG381" s="141">
        <f>IF(N381="zákl. přenesená",J381,0)</f>
        <v>0</v>
      </c>
      <c r="BH381" s="141">
        <f>IF(N381="sníž. přenesená",J381,0)</f>
        <v>0</v>
      </c>
      <c r="BI381" s="141">
        <f>IF(N381="nulová",J381,0)</f>
        <v>0</v>
      </c>
      <c r="BJ381" s="18" t="s">
        <v>85</v>
      </c>
      <c r="BK381" s="141">
        <f>ROUND(I381*H381,2)</f>
        <v>0</v>
      </c>
      <c r="BL381" s="18" t="s">
        <v>185</v>
      </c>
      <c r="BM381" s="140" t="s">
        <v>1165</v>
      </c>
    </row>
    <row r="382" spans="2:47" s="1" customFormat="1" ht="19.5">
      <c r="B382" s="33"/>
      <c r="D382" s="142" t="s">
        <v>187</v>
      </c>
      <c r="F382" s="143" t="s">
        <v>457</v>
      </c>
      <c r="I382" s="144"/>
      <c r="L382" s="33"/>
      <c r="M382" s="145"/>
      <c r="T382" s="54"/>
      <c r="AT382" s="18" t="s">
        <v>187</v>
      </c>
      <c r="AU382" s="18" t="s">
        <v>87</v>
      </c>
    </row>
    <row r="383" spans="2:47" s="1" customFormat="1" ht="11.25">
      <c r="B383" s="33"/>
      <c r="D383" s="146" t="s">
        <v>189</v>
      </c>
      <c r="F383" s="147" t="s">
        <v>458</v>
      </c>
      <c r="I383" s="144"/>
      <c r="L383" s="33"/>
      <c r="M383" s="145"/>
      <c r="T383" s="54"/>
      <c r="AT383" s="18" t="s">
        <v>189</v>
      </c>
      <c r="AU383" s="18" t="s">
        <v>87</v>
      </c>
    </row>
    <row r="384" spans="2:47" s="1" customFormat="1" ht="48.75">
      <c r="B384" s="33"/>
      <c r="D384" s="142" t="s">
        <v>191</v>
      </c>
      <c r="F384" s="148" t="s">
        <v>459</v>
      </c>
      <c r="I384" s="144"/>
      <c r="L384" s="33"/>
      <c r="M384" s="145"/>
      <c r="T384" s="54"/>
      <c r="AT384" s="18" t="s">
        <v>191</v>
      </c>
      <c r="AU384" s="18" t="s">
        <v>87</v>
      </c>
    </row>
    <row r="385" spans="2:51" s="12" customFormat="1" ht="11.25">
      <c r="B385" s="149"/>
      <c r="D385" s="142" t="s">
        <v>193</v>
      </c>
      <c r="E385" s="150" t="s">
        <v>3</v>
      </c>
      <c r="F385" s="151" t="s">
        <v>1166</v>
      </c>
      <c r="H385" s="152">
        <v>16.313</v>
      </c>
      <c r="I385" s="153"/>
      <c r="L385" s="149"/>
      <c r="M385" s="154"/>
      <c r="T385" s="155"/>
      <c r="AT385" s="150" t="s">
        <v>193</v>
      </c>
      <c r="AU385" s="150" t="s">
        <v>87</v>
      </c>
      <c r="AV385" s="12" t="s">
        <v>87</v>
      </c>
      <c r="AW385" s="12" t="s">
        <v>36</v>
      </c>
      <c r="AX385" s="12" t="s">
        <v>85</v>
      </c>
      <c r="AY385" s="150" t="s">
        <v>177</v>
      </c>
    </row>
    <row r="386" spans="2:65" s="1" customFormat="1" ht="24.2" customHeight="1">
      <c r="B386" s="128"/>
      <c r="C386" s="129" t="s">
        <v>1167</v>
      </c>
      <c r="D386" s="129" t="s">
        <v>180</v>
      </c>
      <c r="E386" s="130" t="s">
        <v>1168</v>
      </c>
      <c r="F386" s="131" t="s">
        <v>1169</v>
      </c>
      <c r="G386" s="132" t="s">
        <v>332</v>
      </c>
      <c r="H386" s="133">
        <v>66.502</v>
      </c>
      <c r="I386" s="134"/>
      <c r="J386" s="135">
        <f>ROUND(I386*H386,2)</f>
        <v>0</v>
      </c>
      <c r="K386" s="131" t="s">
        <v>184</v>
      </c>
      <c r="L386" s="33"/>
      <c r="M386" s="136" t="s">
        <v>3</v>
      </c>
      <c r="N386" s="137" t="s">
        <v>48</v>
      </c>
      <c r="P386" s="138">
        <f>O386*H386</f>
        <v>0</v>
      </c>
      <c r="Q386" s="138">
        <v>0.00134</v>
      </c>
      <c r="R386" s="138">
        <f>Q386*H386</f>
        <v>0.08911268</v>
      </c>
      <c r="S386" s="138">
        <v>0</v>
      </c>
      <c r="T386" s="139">
        <f>S386*H386</f>
        <v>0</v>
      </c>
      <c r="AR386" s="140" t="s">
        <v>185</v>
      </c>
      <c r="AT386" s="140" t="s">
        <v>180</v>
      </c>
      <c r="AU386" s="140" t="s">
        <v>87</v>
      </c>
      <c r="AY386" s="18" t="s">
        <v>177</v>
      </c>
      <c r="BE386" s="141">
        <f>IF(N386="základní",J386,0)</f>
        <v>0</v>
      </c>
      <c r="BF386" s="141">
        <f>IF(N386="snížená",J386,0)</f>
        <v>0</v>
      </c>
      <c r="BG386" s="141">
        <f>IF(N386="zákl. přenesená",J386,0)</f>
        <v>0</v>
      </c>
      <c r="BH386" s="141">
        <f>IF(N386="sníž. přenesená",J386,0)</f>
        <v>0</v>
      </c>
      <c r="BI386" s="141">
        <f>IF(N386="nulová",J386,0)</f>
        <v>0</v>
      </c>
      <c r="BJ386" s="18" t="s">
        <v>85</v>
      </c>
      <c r="BK386" s="141">
        <f>ROUND(I386*H386,2)</f>
        <v>0</v>
      </c>
      <c r="BL386" s="18" t="s">
        <v>185</v>
      </c>
      <c r="BM386" s="140" t="s">
        <v>1170</v>
      </c>
    </row>
    <row r="387" spans="2:47" s="1" customFormat="1" ht="19.5">
      <c r="B387" s="33"/>
      <c r="D387" s="142" t="s">
        <v>187</v>
      </c>
      <c r="F387" s="143" t="s">
        <v>1171</v>
      </c>
      <c r="I387" s="144"/>
      <c r="L387" s="33"/>
      <c r="M387" s="145"/>
      <c r="T387" s="54"/>
      <c r="AT387" s="18" t="s">
        <v>187</v>
      </c>
      <c r="AU387" s="18" t="s">
        <v>87</v>
      </c>
    </row>
    <row r="388" spans="2:47" s="1" customFormat="1" ht="11.25">
      <c r="B388" s="33"/>
      <c r="D388" s="146" t="s">
        <v>189</v>
      </c>
      <c r="F388" s="147" t="s">
        <v>1172</v>
      </c>
      <c r="I388" s="144"/>
      <c r="L388" s="33"/>
      <c r="M388" s="145"/>
      <c r="T388" s="54"/>
      <c r="AT388" s="18" t="s">
        <v>189</v>
      </c>
      <c r="AU388" s="18" t="s">
        <v>87</v>
      </c>
    </row>
    <row r="389" spans="2:47" s="1" customFormat="1" ht="48.75">
      <c r="B389" s="33"/>
      <c r="D389" s="142" t="s">
        <v>191</v>
      </c>
      <c r="F389" s="148" t="s">
        <v>459</v>
      </c>
      <c r="I389" s="144"/>
      <c r="L389" s="33"/>
      <c r="M389" s="145"/>
      <c r="T389" s="54"/>
      <c r="AT389" s="18" t="s">
        <v>191</v>
      </c>
      <c r="AU389" s="18" t="s">
        <v>87</v>
      </c>
    </row>
    <row r="390" spans="2:65" s="1" customFormat="1" ht="24.2" customHeight="1">
      <c r="B390" s="128"/>
      <c r="C390" s="129" t="s">
        <v>1173</v>
      </c>
      <c r="D390" s="129" t="s">
        <v>180</v>
      </c>
      <c r="E390" s="130" t="s">
        <v>462</v>
      </c>
      <c r="F390" s="131" t="s">
        <v>463</v>
      </c>
      <c r="G390" s="132" t="s">
        <v>332</v>
      </c>
      <c r="H390" s="133">
        <v>144.926</v>
      </c>
      <c r="I390" s="134"/>
      <c r="J390" s="135">
        <f>ROUND(I390*H390,2)</f>
        <v>0</v>
      </c>
      <c r="K390" s="131" t="s">
        <v>184</v>
      </c>
      <c r="L390" s="33"/>
      <c r="M390" s="136" t="s">
        <v>3</v>
      </c>
      <c r="N390" s="137" t="s">
        <v>48</v>
      </c>
      <c r="P390" s="138">
        <f>O390*H390</f>
        <v>0</v>
      </c>
      <c r="Q390" s="138">
        <v>0.0021</v>
      </c>
      <c r="R390" s="138">
        <f>Q390*H390</f>
        <v>0.30434459999999997</v>
      </c>
      <c r="S390" s="138">
        <v>0</v>
      </c>
      <c r="T390" s="139">
        <f>S390*H390</f>
        <v>0</v>
      </c>
      <c r="AR390" s="140" t="s">
        <v>185</v>
      </c>
      <c r="AT390" s="140" t="s">
        <v>180</v>
      </c>
      <c r="AU390" s="140" t="s">
        <v>87</v>
      </c>
      <c r="AY390" s="18" t="s">
        <v>177</v>
      </c>
      <c r="BE390" s="141">
        <f>IF(N390="základní",J390,0)</f>
        <v>0</v>
      </c>
      <c r="BF390" s="141">
        <f>IF(N390="snížená",J390,0)</f>
        <v>0</v>
      </c>
      <c r="BG390" s="141">
        <f>IF(N390="zákl. přenesená",J390,0)</f>
        <v>0</v>
      </c>
      <c r="BH390" s="141">
        <f>IF(N390="sníž. přenesená",J390,0)</f>
        <v>0</v>
      </c>
      <c r="BI390" s="141">
        <f>IF(N390="nulová",J390,0)</f>
        <v>0</v>
      </c>
      <c r="BJ390" s="18" t="s">
        <v>85</v>
      </c>
      <c r="BK390" s="141">
        <f>ROUND(I390*H390,2)</f>
        <v>0</v>
      </c>
      <c r="BL390" s="18" t="s">
        <v>185</v>
      </c>
      <c r="BM390" s="140" t="s">
        <v>1174</v>
      </c>
    </row>
    <row r="391" spans="2:47" s="1" customFormat="1" ht="19.5">
      <c r="B391" s="33"/>
      <c r="D391" s="142" t="s">
        <v>187</v>
      </c>
      <c r="F391" s="143" t="s">
        <v>465</v>
      </c>
      <c r="I391" s="144"/>
      <c r="L391" s="33"/>
      <c r="M391" s="145"/>
      <c r="T391" s="54"/>
      <c r="AT391" s="18" t="s">
        <v>187</v>
      </c>
      <c r="AU391" s="18" t="s">
        <v>87</v>
      </c>
    </row>
    <row r="392" spans="2:47" s="1" customFormat="1" ht="11.25">
      <c r="B392" s="33"/>
      <c r="D392" s="146" t="s">
        <v>189</v>
      </c>
      <c r="F392" s="147" t="s">
        <v>466</v>
      </c>
      <c r="I392" s="144"/>
      <c r="L392" s="33"/>
      <c r="M392" s="145"/>
      <c r="T392" s="54"/>
      <c r="AT392" s="18" t="s">
        <v>189</v>
      </c>
      <c r="AU392" s="18" t="s">
        <v>87</v>
      </c>
    </row>
    <row r="393" spans="2:51" s="12" customFormat="1" ht="11.25">
      <c r="B393" s="149"/>
      <c r="D393" s="142" t="s">
        <v>193</v>
      </c>
      <c r="E393" s="150" t="s">
        <v>3</v>
      </c>
      <c r="F393" s="151" t="s">
        <v>1175</v>
      </c>
      <c r="H393" s="152">
        <v>116.378</v>
      </c>
      <c r="I393" s="153"/>
      <c r="L393" s="149"/>
      <c r="M393" s="154"/>
      <c r="T393" s="155"/>
      <c r="AT393" s="150" t="s">
        <v>193</v>
      </c>
      <c r="AU393" s="150" t="s">
        <v>87</v>
      </c>
      <c r="AV393" s="12" t="s">
        <v>87</v>
      </c>
      <c r="AW393" s="12" t="s">
        <v>36</v>
      </c>
      <c r="AX393" s="12" t="s">
        <v>77</v>
      </c>
      <c r="AY393" s="150" t="s">
        <v>177</v>
      </c>
    </row>
    <row r="394" spans="2:51" s="12" customFormat="1" ht="11.25">
      <c r="B394" s="149"/>
      <c r="D394" s="142" t="s">
        <v>193</v>
      </c>
      <c r="E394" s="150" t="s">
        <v>3</v>
      </c>
      <c r="F394" s="151" t="s">
        <v>1176</v>
      </c>
      <c r="H394" s="152">
        <v>28.548</v>
      </c>
      <c r="I394" s="153"/>
      <c r="L394" s="149"/>
      <c r="M394" s="154"/>
      <c r="T394" s="155"/>
      <c r="AT394" s="150" t="s">
        <v>193</v>
      </c>
      <c r="AU394" s="150" t="s">
        <v>87</v>
      </c>
      <c r="AV394" s="12" t="s">
        <v>87</v>
      </c>
      <c r="AW394" s="12" t="s">
        <v>36</v>
      </c>
      <c r="AX394" s="12" t="s">
        <v>77</v>
      </c>
      <c r="AY394" s="150" t="s">
        <v>177</v>
      </c>
    </row>
    <row r="395" spans="2:51" s="15" customFormat="1" ht="11.25">
      <c r="B395" s="169"/>
      <c r="D395" s="142" t="s">
        <v>193</v>
      </c>
      <c r="E395" s="170" t="s">
        <v>3</v>
      </c>
      <c r="F395" s="171" t="s">
        <v>201</v>
      </c>
      <c r="H395" s="172">
        <v>144.926</v>
      </c>
      <c r="I395" s="173"/>
      <c r="L395" s="169"/>
      <c r="M395" s="174"/>
      <c r="T395" s="175"/>
      <c r="AT395" s="170" t="s">
        <v>193</v>
      </c>
      <c r="AU395" s="170" t="s">
        <v>87</v>
      </c>
      <c r="AV395" s="15" t="s">
        <v>185</v>
      </c>
      <c r="AW395" s="15" t="s">
        <v>36</v>
      </c>
      <c r="AX395" s="15" t="s">
        <v>85</v>
      </c>
      <c r="AY395" s="170" t="s">
        <v>177</v>
      </c>
    </row>
    <row r="396" spans="2:65" s="1" customFormat="1" ht="24.2" customHeight="1">
      <c r="B396" s="128"/>
      <c r="C396" s="129" t="s">
        <v>1177</v>
      </c>
      <c r="D396" s="129" t="s">
        <v>180</v>
      </c>
      <c r="E396" s="130" t="s">
        <v>474</v>
      </c>
      <c r="F396" s="131" t="s">
        <v>475</v>
      </c>
      <c r="G396" s="132" t="s">
        <v>476</v>
      </c>
      <c r="H396" s="133">
        <v>51.771</v>
      </c>
      <c r="I396" s="134"/>
      <c r="J396" s="135">
        <f>ROUND(I396*H396,2)</f>
        <v>0</v>
      </c>
      <c r="K396" s="131" t="s">
        <v>184</v>
      </c>
      <c r="L396" s="33"/>
      <c r="M396" s="136" t="s">
        <v>3</v>
      </c>
      <c r="N396" s="137" t="s">
        <v>48</v>
      </c>
      <c r="P396" s="138">
        <f>O396*H396</f>
        <v>0</v>
      </c>
      <c r="Q396" s="138">
        <v>0.0004314</v>
      </c>
      <c r="R396" s="138">
        <f>Q396*H396</f>
        <v>0.0223340094</v>
      </c>
      <c r="S396" s="138">
        <v>0</v>
      </c>
      <c r="T396" s="139">
        <f>S396*H396</f>
        <v>0</v>
      </c>
      <c r="AR396" s="140" t="s">
        <v>185</v>
      </c>
      <c r="AT396" s="140" t="s">
        <v>180</v>
      </c>
      <c r="AU396" s="140" t="s">
        <v>87</v>
      </c>
      <c r="AY396" s="18" t="s">
        <v>177</v>
      </c>
      <c r="BE396" s="141">
        <f>IF(N396="základní",J396,0)</f>
        <v>0</v>
      </c>
      <c r="BF396" s="141">
        <f>IF(N396="snížená",J396,0)</f>
        <v>0</v>
      </c>
      <c r="BG396" s="141">
        <f>IF(N396="zákl. přenesená",J396,0)</f>
        <v>0</v>
      </c>
      <c r="BH396" s="141">
        <f>IF(N396="sníž. přenesená",J396,0)</f>
        <v>0</v>
      </c>
      <c r="BI396" s="141">
        <f>IF(N396="nulová",J396,0)</f>
        <v>0</v>
      </c>
      <c r="BJ396" s="18" t="s">
        <v>85</v>
      </c>
      <c r="BK396" s="141">
        <f>ROUND(I396*H396,2)</f>
        <v>0</v>
      </c>
      <c r="BL396" s="18" t="s">
        <v>185</v>
      </c>
      <c r="BM396" s="140" t="s">
        <v>1178</v>
      </c>
    </row>
    <row r="397" spans="2:47" s="1" customFormat="1" ht="19.5">
      <c r="B397" s="33"/>
      <c r="D397" s="142" t="s">
        <v>187</v>
      </c>
      <c r="F397" s="143" t="s">
        <v>478</v>
      </c>
      <c r="I397" s="144"/>
      <c r="L397" s="33"/>
      <c r="M397" s="145"/>
      <c r="T397" s="54"/>
      <c r="AT397" s="18" t="s">
        <v>187</v>
      </c>
      <c r="AU397" s="18" t="s">
        <v>87</v>
      </c>
    </row>
    <row r="398" spans="2:47" s="1" customFormat="1" ht="11.25">
      <c r="B398" s="33"/>
      <c r="D398" s="146" t="s">
        <v>189</v>
      </c>
      <c r="F398" s="147" t="s">
        <v>479</v>
      </c>
      <c r="I398" s="144"/>
      <c r="L398" s="33"/>
      <c r="M398" s="145"/>
      <c r="T398" s="54"/>
      <c r="AT398" s="18" t="s">
        <v>189</v>
      </c>
      <c r="AU398" s="18" t="s">
        <v>87</v>
      </c>
    </row>
    <row r="399" spans="2:47" s="1" customFormat="1" ht="107.25">
      <c r="B399" s="33"/>
      <c r="D399" s="142" t="s">
        <v>191</v>
      </c>
      <c r="F399" s="148" t="s">
        <v>480</v>
      </c>
      <c r="I399" s="144"/>
      <c r="L399" s="33"/>
      <c r="M399" s="145"/>
      <c r="T399" s="54"/>
      <c r="AT399" s="18" t="s">
        <v>191</v>
      </c>
      <c r="AU399" s="18" t="s">
        <v>87</v>
      </c>
    </row>
    <row r="400" spans="2:51" s="13" customFormat="1" ht="11.25">
      <c r="B400" s="156"/>
      <c r="D400" s="142" t="s">
        <v>193</v>
      </c>
      <c r="E400" s="157" t="s">
        <v>3</v>
      </c>
      <c r="F400" s="158" t="s">
        <v>481</v>
      </c>
      <c r="H400" s="157" t="s">
        <v>3</v>
      </c>
      <c r="I400" s="159"/>
      <c r="L400" s="156"/>
      <c r="M400" s="160"/>
      <c r="T400" s="161"/>
      <c r="AT400" s="157" t="s">
        <v>193</v>
      </c>
      <c r="AU400" s="157" t="s">
        <v>87</v>
      </c>
      <c r="AV400" s="13" t="s">
        <v>85</v>
      </c>
      <c r="AW400" s="13" t="s">
        <v>36</v>
      </c>
      <c r="AX400" s="13" t="s">
        <v>77</v>
      </c>
      <c r="AY400" s="157" t="s">
        <v>177</v>
      </c>
    </row>
    <row r="401" spans="2:51" s="12" customFormat="1" ht="11.25">
      <c r="B401" s="149"/>
      <c r="D401" s="142" t="s">
        <v>193</v>
      </c>
      <c r="E401" s="150" t="s">
        <v>3</v>
      </c>
      <c r="F401" s="151" t="s">
        <v>1179</v>
      </c>
      <c r="H401" s="152">
        <v>51.771</v>
      </c>
      <c r="I401" s="153"/>
      <c r="L401" s="149"/>
      <c r="M401" s="154"/>
      <c r="T401" s="155"/>
      <c r="AT401" s="150" t="s">
        <v>193</v>
      </c>
      <c r="AU401" s="150" t="s">
        <v>87</v>
      </c>
      <c r="AV401" s="12" t="s">
        <v>87</v>
      </c>
      <c r="AW401" s="12" t="s">
        <v>36</v>
      </c>
      <c r="AX401" s="12" t="s">
        <v>85</v>
      </c>
      <c r="AY401" s="150" t="s">
        <v>177</v>
      </c>
    </row>
    <row r="402" spans="2:65" s="1" customFormat="1" ht="24.2" customHeight="1">
      <c r="B402" s="128"/>
      <c r="C402" s="179" t="s">
        <v>1180</v>
      </c>
      <c r="D402" s="179" t="s">
        <v>484</v>
      </c>
      <c r="E402" s="180" t="s">
        <v>485</v>
      </c>
      <c r="F402" s="181" t="s">
        <v>486</v>
      </c>
      <c r="G402" s="182" t="s">
        <v>183</v>
      </c>
      <c r="H402" s="183">
        <v>0.051</v>
      </c>
      <c r="I402" s="184"/>
      <c r="J402" s="185">
        <f>ROUND(I402*H402,2)</f>
        <v>0</v>
      </c>
      <c r="K402" s="181" t="s">
        <v>184</v>
      </c>
      <c r="L402" s="186"/>
      <c r="M402" s="187" t="s">
        <v>3</v>
      </c>
      <c r="N402" s="188" t="s">
        <v>48</v>
      </c>
      <c r="P402" s="138">
        <f>O402*H402</f>
        <v>0</v>
      </c>
      <c r="Q402" s="138">
        <v>1</v>
      </c>
      <c r="R402" s="138">
        <f>Q402*H402</f>
        <v>0.051</v>
      </c>
      <c r="S402" s="138">
        <v>0</v>
      </c>
      <c r="T402" s="139">
        <f>S402*H402</f>
        <v>0</v>
      </c>
      <c r="AR402" s="140" t="s">
        <v>248</v>
      </c>
      <c r="AT402" s="140" t="s">
        <v>484</v>
      </c>
      <c r="AU402" s="140" t="s">
        <v>87</v>
      </c>
      <c r="AY402" s="18" t="s">
        <v>177</v>
      </c>
      <c r="BE402" s="141">
        <f>IF(N402="základní",J402,0)</f>
        <v>0</v>
      </c>
      <c r="BF402" s="141">
        <f>IF(N402="snížená",J402,0)</f>
        <v>0</v>
      </c>
      <c r="BG402" s="141">
        <f>IF(N402="zákl. přenesená",J402,0)</f>
        <v>0</v>
      </c>
      <c r="BH402" s="141">
        <f>IF(N402="sníž. přenesená",J402,0)</f>
        <v>0</v>
      </c>
      <c r="BI402" s="141">
        <f>IF(N402="nulová",J402,0)</f>
        <v>0</v>
      </c>
      <c r="BJ402" s="18" t="s">
        <v>85</v>
      </c>
      <c r="BK402" s="141">
        <f>ROUND(I402*H402,2)</f>
        <v>0</v>
      </c>
      <c r="BL402" s="18" t="s">
        <v>185</v>
      </c>
      <c r="BM402" s="140" t="s">
        <v>1181</v>
      </c>
    </row>
    <row r="403" spans="2:47" s="1" customFormat="1" ht="19.5">
      <c r="B403" s="33"/>
      <c r="D403" s="142" t="s">
        <v>187</v>
      </c>
      <c r="F403" s="143" t="s">
        <v>488</v>
      </c>
      <c r="I403" s="144"/>
      <c r="L403" s="33"/>
      <c r="M403" s="145"/>
      <c r="T403" s="54"/>
      <c r="AT403" s="18" t="s">
        <v>187</v>
      </c>
      <c r="AU403" s="18" t="s">
        <v>87</v>
      </c>
    </row>
    <row r="404" spans="2:51" s="12" customFormat="1" ht="11.25">
      <c r="B404" s="149"/>
      <c r="D404" s="142" t="s">
        <v>193</v>
      </c>
      <c r="E404" s="150" t="s">
        <v>3</v>
      </c>
      <c r="F404" s="151" t="s">
        <v>1182</v>
      </c>
      <c r="H404" s="152">
        <v>0.051</v>
      </c>
      <c r="I404" s="153"/>
      <c r="L404" s="149"/>
      <c r="M404" s="154"/>
      <c r="T404" s="155"/>
      <c r="AT404" s="150" t="s">
        <v>193</v>
      </c>
      <c r="AU404" s="150" t="s">
        <v>87</v>
      </c>
      <c r="AV404" s="12" t="s">
        <v>87</v>
      </c>
      <c r="AW404" s="12" t="s">
        <v>36</v>
      </c>
      <c r="AX404" s="12" t="s">
        <v>85</v>
      </c>
      <c r="AY404" s="150" t="s">
        <v>177</v>
      </c>
    </row>
    <row r="405" spans="2:63" s="11" customFormat="1" ht="22.9" customHeight="1">
      <c r="B405" s="116"/>
      <c r="D405" s="117" t="s">
        <v>76</v>
      </c>
      <c r="E405" s="126" t="s">
        <v>178</v>
      </c>
      <c r="F405" s="126" t="s">
        <v>179</v>
      </c>
      <c r="I405" s="119"/>
      <c r="J405" s="127">
        <f>BK405</f>
        <v>0</v>
      </c>
      <c r="L405" s="116"/>
      <c r="M405" s="121"/>
      <c r="P405" s="122">
        <f>SUM(P406:P456)</f>
        <v>0</v>
      </c>
      <c r="R405" s="122">
        <f>SUM(R406:R456)</f>
        <v>0</v>
      </c>
      <c r="T405" s="123">
        <f>SUM(T406:T456)</f>
        <v>0</v>
      </c>
      <c r="AR405" s="117" t="s">
        <v>85</v>
      </c>
      <c r="AT405" s="124" t="s">
        <v>76</v>
      </c>
      <c r="AU405" s="124" t="s">
        <v>85</v>
      </c>
      <c r="AY405" s="117" t="s">
        <v>177</v>
      </c>
      <c r="BK405" s="125">
        <f>SUM(BK406:BK456)</f>
        <v>0</v>
      </c>
    </row>
    <row r="406" spans="2:65" s="1" customFormat="1" ht="24.2" customHeight="1">
      <c r="B406" s="128"/>
      <c r="C406" s="129" t="s">
        <v>1183</v>
      </c>
      <c r="D406" s="129" t="s">
        <v>180</v>
      </c>
      <c r="E406" s="130" t="s">
        <v>181</v>
      </c>
      <c r="F406" s="131" t="s">
        <v>182</v>
      </c>
      <c r="G406" s="132" t="s">
        <v>183</v>
      </c>
      <c r="H406" s="133">
        <v>203.288</v>
      </c>
      <c r="I406" s="134"/>
      <c r="J406" s="135">
        <f>ROUND(I406*H406,2)</f>
        <v>0</v>
      </c>
      <c r="K406" s="131" t="s">
        <v>184</v>
      </c>
      <c r="L406" s="33"/>
      <c r="M406" s="136" t="s">
        <v>3</v>
      </c>
      <c r="N406" s="137" t="s">
        <v>48</v>
      </c>
      <c r="P406" s="138">
        <f>O406*H406</f>
        <v>0</v>
      </c>
      <c r="Q406" s="138">
        <v>0</v>
      </c>
      <c r="R406" s="138">
        <f>Q406*H406</f>
        <v>0</v>
      </c>
      <c r="S406" s="138">
        <v>0</v>
      </c>
      <c r="T406" s="139">
        <f>S406*H406</f>
        <v>0</v>
      </c>
      <c r="AR406" s="140" t="s">
        <v>185</v>
      </c>
      <c r="AT406" s="140" t="s">
        <v>180</v>
      </c>
      <c r="AU406" s="140" t="s">
        <v>87</v>
      </c>
      <c r="AY406" s="18" t="s">
        <v>177</v>
      </c>
      <c r="BE406" s="141">
        <f>IF(N406="základní",J406,0)</f>
        <v>0</v>
      </c>
      <c r="BF406" s="141">
        <f>IF(N406="snížená",J406,0)</f>
        <v>0</v>
      </c>
      <c r="BG406" s="141">
        <f>IF(N406="zákl. přenesená",J406,0)</f>
        <v>0</v>
      </c>
      <c r="BH406" s="141">
        <f>IF(N406="sníž. přenesená",J406,0)</f>
        <v>0</v>
      </c>
      <c r="BI406" s="141">
        <f>IF(N406="nulová",J406,0)</f>
        <v>0</v>
      </c>
      <c r="BJ406" s="18" t="s">
        <v>85</v>
      </c>
      <c r="BK406" s="141">
        <f>ROUND(I406*H406,2)</f>
        <v>0</v>
      </c>
      <c r="BL406" s="18" t="s">
        <v>185</v>
      </c>
      <c r="BM406" s="140" t="s">
        <v>1184</v>
      </c>
    </row>
    <row r="407" spans="2:47" s="1" customFormat="1" ht="19.5">
      <c r="B407" s="33"/>
      <c r="D407" s="142" t="s">
        <v>187</v>
      </c>
      <c r="F407" s="143" t="s">
        <v>188</v>
      </c>
      <c r="I407" s="144"/>
      <c r="L407" s="33"/>
      <c r="M407" s="145"/>
      <c r="T407" s="54"/>
      <c r="AT407" s="18" t="s">
        <v>187</v>
      </c>
      <c r="AU407" s="18" t="s">
        <v>87</v>
      </c>
    </row>
    <row r="408" spans="2:47" s="1" customFormat="1" ht="11.25">
      <c r="B408" s="33"/>
      <c r="D408" s="146" t="s">
        <v>189</v>
      </c>
      <c r="F408" s="147" t="s">
        <v>190</v>
      </c>
      <c r="I408" s="144"/>
      <c r="L408" s="33"/>
      <c r="M408" s="145"/>
      <c r="T408" s="54"/>
      <c r="AT408" s="18" t="s">
        <v>189</v>
      </c>
      <c r="AU408" s="18" t="s">
        <v>87</v>
      </c>
    </row>
    <row r="409" spans="2:47" s="1" customFormat="1" ht="146.25">
      <c r="B409" s="33"/>
      <c r="D409" s="142" t="s">
        <v>191</v>
      </c>
      <c r="F409" s="148" t="s">
        <v>192</v>
      </c>
      <c r="I409" s="144"/>
      <c r="L409" s="33"/>
      <c r="M409" s="145"/>
      <c r="T409" s="54"/>
      <c r="AT409" s="18" t="s">
        <v>191</v>
      </c>
      <c r="AU409" s="18" t="s">
        <v>87</v>
      </c>
    </row>
    <row r="410" spans="2:65" s="1" customFormat="1" ht="33" customHeight="1">
      <c r="B410" s="128"/>
      <c r="C410" s="129" t="s">
        <v>1185</v>
      </c>
      <c r="D410" s="129" t="s">
        <v>180</v>
      </c>
      <c r="E410" s="130" t="s">
        <v>202</v>
      </c>
      <c r="F410" s="131" t="s">
        <v>203</v>
      </c>
      <c r="G410" s="132" t="s">
        <v>183</v>
      </c>
      <c r="H410" s="133">
        <v>406.576</v>
      </c>
      <c r="I410" s="134"/>
      <c r="J410" s="135">
        <f>ROUND(I410*H410,2)</f>
        <v>0</v>
      </c>
      <c r="K410" s="131" t="s">
        <v>184</v>
      </c>
      <c r="L410" s="33"/>
      <c r="M410" s="136" t="s">
        <v>3</v>
      </c>
      <c r="N410" s="137" t="s">
        <v>48</v>
      </c>
      <c r="P410" s="138">
        <f>O410*H410</f>
        <v>0</v>
      </c>
      <c r="Q410" s="138">
        <v>0</v>
      </c>
      <c r="R410" s="138">
        <f>Q410*H410</f>
        <v>0</v>
      </c>
      <c r="S410" s="138">
        <v>0</v>
      </c>
      <c r="T410" s="139">
        <f>S410*H410</f>
        <v>0</v>
      </c>
      <c r="AR410" s="140" t="s">
        <v>185</v>
      </c>
      <c r="AT410" s="140" t="s">
        <v>180</v>
      </c>
      <c r="AU410" s="140" t="s">
        <v>87</v>
      </c>
      <c r="AY410" s="18" t="s">
        <v>177</v>
      </c>
      <c r="BE410" s="141">
        <f>IF(N410="základní",J410,0)</f>
        <v>0</v>
      </c>
      <c r="BF410" s="141">
        <f>IF(N410="snížená",J410,0)</f>
        <v>0</v>
      </c>
      <c r="BG410" s="141">
        <f>IF(N410="zákl. přenesená",J410,0)</f>
        <v>0</v>
      </c>
      <c r="BH410" s="141">
        <f>IF(N410="sníž. přenesená",J410,0)</f>
        <v>0</v>
      </c>
      <c r="BI410" s="141">
        <f>IF(N410="nulová",J410,0)</f>
        <v>0</v>
      </c>
      <c r="BJ410" s="18" t="s">
        <v>85</v>
      </c>
      <c r="BK410" s="141">
        <f>ROUND(I410*H410,2)</f>
        <v>0</v>
      </c>
      <c r="BL410" s="18" t="s">
        <v>185</v>
      </c>
      <c r="BM410" s="140" t="s">
        <v>1186</v>
      </c>
    </row>
    <row r="411" spans="2:47" s="1" customFormat="1" ht="39">
      <c r="B411" s="33"/>
      <c r="D411" s="142" t="s">
        <v>187</v>
      </c>
      <c r="F411" s="143" t="s">
        <v>205</v>
      </c>
      <c r="I411" s="144"/>
      <c r="L411" s="33"/>
      <c r="M411" s="145"/>
      <c r="T411" s="54"/>
      <c r="AT411" s="18" t="s">
        <v>187</v>
      </c>
      <c r="AU411" s="18" t="s">
        <v>87</v>
      </c>
    </row>
    <row r="412" spans="2:47" s="1" customFormat="1" ht="11.25">
      <c r="B412" s="33"/>
      <c r="D412" s="146" t="s">
        <v>189</v>
      </c>
      <c r="F412" s="147" t="s">
        <v>206</v>
      </c>
      <c r="I412" s="144"/>
      <c r="L412" s="33"/>
      <c r="M412" s="145"/>
      <c r="T412" s="54"/>
      <c r="AT412" s="18" t="s">
        <v>189</v>
      </c>
      <c r="AU412" s="18" t="s">
        <v>87</v>
      </c>
    </row>
    <row r="413" spans="2:47" s="1" customFormat="1" ht="146.25">
      <c r="B413" s="33"/>
      <c r="D413" s="142" t="s">
        <v>191</v>
      </c>
      <c r="F413" s="148" t="s">
        <v>192</v>
      </c>
      <c r="I413" s="144"/>
      <c r="L413" s="33"/>
      <c r="M413" s="145"/>
      <c r="T413" s="54"/>
      <c r="AT413" s="18" t="s">
        <v>191</v>
      </c>
      <c r="AU413" s="18" t="s">
        <v>87</v>
      </c>
    </row>
    <row r="414" spans="2:51" s="12" customFormat="1" ht="11.25">
      <c r="B414" s="149"/>
      <c r="D414" s="142" t="s">
        <v>193</v>
      </c>
      <c r="F414" s="151" t="s">
        <v>1187</v>
      </c>
      <c r="H414" s="152">
        <v>406.576</v>
      </c>
      <c r="I414" s="153"/>
      <c r="L414" s="149"/>
      <c r="M414" s="154"/>
      <c r="T414" s="155"/>
      <c r="AT414" s="150" t="s">
        <v>193</v>
      </c>
      <c r="AU414" s="150" t="s">
        <v>87</v>
      </c>
      <c r="AV414" s="12" t="s">
        <v>87</v>
      </c>
      <c r="AW414" s="12" t="s">
        <v>4</v>
      </c>
      <c r="AX414" s="12" t="s">
        <v>85</v>
      </c>
      <c r="AY414" s="150" t="s">
        <v>177</v>
      </c>
    </row>
    <row r="415" spans="2:65" s="1" customFormat="1" ht="24.2" customHeight="1">
      <c r="B415" s="128"/>
      <c r="C415" s="129" t="s">
        <v>1188</v>
      </c>
      <c r="D415" s="129" t="s">
        <v>180</v>
      </c>
      <c r="E415" s="130" t="s">
        <v>208</v>
      </c>
      <c r="F415" s="131" t="s">
        <v>209</v>
      </c>
      <c r="G415" s="132" t="s">
        <v>183</v>
      </c>
      <c r="H415" s="133">
        <v>203.288</v>
      </c>
      <c r="I415" s="134"/>
      <c r="J415" s="135">
        <f>ROUND(I415*H415,2)</f>
        <v>0</v>
      </c>
      <c r="K415" s="131" t="s">
        <v>184</v>
      </c>
      <c r="L415" s="33"/>
      <c r="M415" s="136" t="s">
        <v>3</v>
      </c>
      <c r="N415" s="137" t="s">
        <v>48</v>
      </c>
      <c r="P415" s="138">
        <f>O415*H415</f>
        <v>0</v>
      </c>
      <c r="Q415" s="138">
        <v>0</v>
      </c>
      <c r="R415" s="138">
        <f>Q415*H415</f>
        <v>0</v>
      </c>
      <c r="S415" s="138">
        <v>0</v>
      </c>
      <c r="T415" s="139">
        <f>S415*H415</f>
        <v>0</v>
      </c>
      <c r="AR415" s="140" t="s">
        <v>185</v>
      </c>
      <c r="AT415" s="140" t="s">
        <v>180</v>
      </c>
      <c r="AU415" s="140" t="s">
        <v>87</v>
      </c>
      <c r="AY415" s="18" t="s">
        <v>177</v>
      </c>
      <c r="BE415" s="141">
        <f>IF(N415="základní",J415,0)</f>
        <v>0</v>
      </c>
      <c r="BF415" s="141">
        <f>IF(N415="snížená",J415,0)</f>
        <v>0</v>
      </c>
      <c r="BG415" s="141">
        <f>IF(N415="zákl. přenesená",J415,0)</f>
        <v>0</v>
      </c>
      <c r="BH415" s="141">
        <f>IF(N415="sníž. přenesená",J415,0)</f>
        <v>0</v>
      </c>
      <c r="BI415" s="141">
        <f>IF(N415="nulová",J415,0)</f>
        <v>0</v>
      </c>
      <c r="BJ415" s="18" t="s">
        <v>85</v>
      </c>
      <c r="BK415" s="141">
        <f>ROUND(I415*H415,2)</f>
        <v>0</v>
      </c>
      <c r="BL415" s="18" t="s">
        <v>185</v>
      </c>
      <c r="BM415" s="140" t="s">
        <v>1189</v>
      </c>
    </row>
    <row r="416" spans="2:47" s="1" customFormat="1" ht="19.5">
      <c r="B416" s="33"/>
      <c r="D416" s="142" t="s">
        <v>187</v>
      </c>
      <c r="F416" s="143" t="s">
        <v>211</v>
      </c>
      <c r="I416" s="144"/>
      <c r="L416" s="33"/>
      <c r="M416" s="145"/>
      <c r="T416" s="54"/>
      <c r="AT416" s="18" t="s">
        <v>187</v>
      </c>
      <c r="AU416" s="18" t="s">
        <v>87</v>
      </c>
    </row>
    <row r="417" spans="2:47" s="1" customFormat="1" ht="11.25">
      <c r="B417" s="33"/>
      <c r="D417" s="146" t="s">
        <v>189</v>
      </c>
      <c r="F417" s="147" t="s">
        <v>212</v>
      </c>
      <c r="I417" s="144"/>
      <c r="L417" s="33"/>
      <c r="M417" s="145"/>
      <c r="T417" s="54"/>
      <c r="AT417" s="18" t="s">
        <v>189</v>
      </c>
      <c r="AU417" s="18" t="s">
        <v>87</v>
      </c>
    </row>
    <row r="418" spans="2:47" s="1" customFormat="1" ht="97.5">
      <c r="B418" s="33"/>
      <c r="D418" s="142" t="s">
        <v>191</v>
      </c>
      <c r="F418" s="148" t="s">
        <v>213</v>
      </c>
      <c r="I418" s="144"/>
      <c r="L418" s="33"/>
      <c r="M418" s="145"/>
      <c r="T418" s="54"/>
      <c r="AT418" s="18" t="s">
        <v>191</v>
      </c>
      <c r="AU418" s="18" t="s">
        <v>87</v>
      </c>
    </row>
    <row r="419" spans="2:65" s="1" customFormat="1" ht="24.2" customHeight="1">
      <c r="B419" s="128"/>
      <c r="C419" s="129" t="s">
        <v>1190</v>
      </c>
      <c r="D419" s="129" t="s">
        <v>180</v>
      </c>
      <c r="E419" s="130" t="s">
        <v>214</v>
      </c>
      <c r="F419" s="131" t="s">
        <v>215</v>
      </c>
      <c r="G419" s="132" t="s">
        <v>183</v>
      </c>
      <c r="H419" s="133">
        <v>3862.472</v>
      </c>
      <c r="I419" s="134"/>
      <c r="J419" s="135">
        <f>ROUND(I419*H419,2)</f>
        <v>0</v>
      </c>
      <c r="K419" s="131" t="s">
        <v>184</v>
      </c>
      <c r="L419" s="33"/>
      <c r="M419" s="136" t="s">
        <v>3</v>
      </c>
      <c r="N419" s="137" t="s">
        <v>48</v>
      </c>
      <c r="P419" s="138">
        <f>O419*H419</f>
        <v>0</v>
      </c>
      <c r="Q419" s="138">
        <v>0</v>
      </c>
      <c r="R419" s="138">
        <f>Q419*H419</f>
        <v>0</v>
      </c>
      <c r="S419" s="138">
        <v>0</v>
      </c>
      <c r="T419" s="139">
        <f>S419*H419</f>
        <v>0</v>
      </c>
      <c r="AR419" s="140" t="s">
        <v>185</v>
      </c>
      <c r="AT419" s="140" t="s">
        <v>180</v>
      </c>
      <c r="AU419" s="140" t="s">
        <v>87</v>
      </c>
      <c r="AY419" s="18" t="s">
        <v>177</v>
      </c>
      <c r="BE419" s="141">
        <f>IF(N419="základní",J419,0)</f>
        <v>0</v>
      </c>
      <c r="BF419" s="141">
        <f>IF(N419="snížená",J419,0)</f>
        <v>0</v>
      </c>
      <c r="BG419" s="141">
        <f>IF(N419="zákl. přenesená",J419,0)</f>
        <v>0</v>
      </c>
      <c r="BH419" s="141">
        <f>IF(N419="sníž. přenesená",J419,0)</f>
        <v>0</v>
      </c>
      <c r="BI419" s="141">
        <f>IF(N419="nulová",J419,0)</f>
        <v>0</v>
      </c>
      <c r="BJ419" s="18" t="s">
        <v>85</v>
      </c>
      <c r="BK419" s="141">
        <f>ROUND(I419*H419,2)</f>
        <v>0</v>
      </c>
      <c r="BL419" s="18" t="s">
        <v>185</v>
      </c>
      <c r="BM419" s="140" t="s">
        <v>1191</v>
      </c>
    </row>
    <row r="420" spans="2:47" s="1" customFormat="1" ht="29.25">
      <c r="B420" s="33"/>
      <c r="D420" s="142" t="s">
        <v>187</v>
      </c>
      <c r="F420" s="143" t="s">
        <v>217</v>
      </c>
      <c r="I420" s="144"/>
      <c r="L420" s="33"/>
      <c r="M420" s="145"/>
      <c r="T420" s="54"/>
      <c r="AT420" s="18" t="s">
        <v>187</v>
      </c>
      <c r="AU420" s="18" t="s">
        <v>87</v>
      </c>
    </row>
    <row r="421" spans="2:47" s="1" customFormat="1" ht="11.25">
      <c r="B421" s="33"/>
      <c r="D421" s="146" t="s">
        <v>189</v>
      </c>
      <c r="F421" s="147" t="s">
        <v>218</v>
      </c>
      <c r="I421" s="144"/>
      <c r="L421" s="33"/>
      <c r="M421" s="145"/>
      <c r="T421" s="54"/>
      <c r="AT421" s="18" t="s">
        <v>189</v>
      </c>
      <c r="AU421" s="18" t="s">
        <v>87</v>
      </c>
    </row>
    <row r="422" spans="2:47" s="1" customFormat="1" ht="97.5">
      <c r="B422" s="33"/>
      <c r="D422" s="142" t="s">
        <v>191</v>
      </c>
      <c r="F422" s="148" t="s">
        <v>213</v>
      </c>
      <c r="I422" s="144"/>
      <c r="L422" s="33"/>
      <c r="M422" s="145"/>
      <c r="T422" s="54"/>
      <c r="AT422" s="18" t="s">
        <v>191</v>
      </c>
      <c r="AU422" s="18" t="s">
        <v>87</v>
      </c>
    </row>
    <row r="423" spans="2:51" s="12" customFormat="1" ht="11.25">
      <c r="B423" s="149"/>
      <c r="D423" s="142" t="s">
        <v>193</v>
      </c>
      <c r="F423" s="151" t="s">
        <v>1192</v>
      </c>
      <c r="H423" s="152">
        <v>3862.472</v>
      </c>
      <c r="I423" s="153"/>
      <c r="L423" s="149"/>
      <c r="M423" s="154"/>
      <c r="T423" s="155"/>
      <c r="AT423" s="150" t="s">
        <v>193</v>
      </c>
      <c r="AU423" s="150" t="s">
        <v>87</v>
      </c>
      <c r="AV423" s="12" t="s">
        <v>87</v>
      </c>
      <c r="AW423" s="12" t="s">
        <v>4</v>
      </c>
      <c r="AX423" s="12" t="s">
        <v>85</v>
      </c>
      <c r="AY423" s="150" t="s">
        <v>177</v>
      </c>
    </row>
    <row r="424" spans="2:65" s="1" customFormat="1" ht="37.9" customHeight="1">
      <c r="B424" s="128"/>
      <c r="C424" s="129" t="s">
        <v>1193</v>
      </c>
      <c r="D424" s="129" t="s">
        <v>180</v>
      </c>
      <c r="E424" s="130" t="s">
        <v>1194</v>
      </c>
      <c r="F424" s="131" t="s">
        <v>1195</v>
      </c>
      <c r="G424" s="132" t="s">
        <v>183</v>
      </c>
      <c r="H424" s="133">
        <v>0.987</v>
      </c>
      <c r="I424" s="134"/>
      <c r="J424" s="135">
        <f>ROUND(I424*H424,2)</f>
        <v>0</v>
      </c>
      <c r="K424" s="131" t="s">
        <v>184</v>
      </c>
      <c r="L424" s="33"/>
      <c r="M424" s="136" t="s">
        <v>3</v>
      </c>
      <c r="N424" s="137" t="s">
        <v>48</v>
      </c>
      <c r="P424" s="138">
        <f>O424*H424</f>
        <v>0</v>
      </c>
      <c r="Q424" s="138">
        <v>0</v>
      </c>
      <c r="R424" s="138">
        <f>Q424*H424</f>
        <v>0</v>
      </c>
      <c r="S424" s="138">
        <v>0</v>
      </c>
      <c r="T424" s="139">
        <f>S424*H424</f>
        <v>0</v>
      </c>
      <c r="AR424" s="140" t="s">
        <v>185</v>
      </c>
      <c r="AT424" s="140" t="s">
        <v>180</v>
      </c>
      <c r="AU424" s="140" t="s">
        <v>87</v>
      </c>
      <c r="AY424" s="18" t="s">
        <v>177</v>
      </c>
      <c r="BE424" s="141">
        <f>IF(N424="základní",J424,0)</f>
        <v>0</v>
      </c>
      <c r="BF424" s="141">
        <f>IF(N424="snížená",J424,0)</f>
        <v>0</v>
      </c>
      <c r="BG424" s="141">
        <f>IF(N424="zákl. přenesená",J424,0)</f>
        <v>0</v>
      </c>
      <c r="BH424" s="141">
        <f>IF(N424="sníž. přenesená",J424,0)</f>
        <v>0</v>
      </c>
      <c r="BI424" s="141">
        <f>IF(N424="nulová",J424,0)</f>
        <v>0</v>
      </c>
      <c r="BJ424" s="18" t="s">
        <v>85</v>
      </c>
      <c r="BK424" s="141">
        <f>ROUND(I424*H424,2)</f>
        <v>0</v>
      </c>
      <c r="BL424" s="18" t="s">
        <v>185</v>
      </c>
      <c r="BM424" s="140" t="s">
        <v>1196</v>
      </c>
    </row>
    <row r="425" spans="2:47" s="1" customFormat="1" ht="29.25">
      <c r="B425" s="33"/>
      <c r="D425" s="142" t="s">
        <v>187</v>
      </c>
      <c r="F425" s="143" t="s">
        <v>1197</v>
      </c>
      <c r="I425" s="144"/>
      <c r="L425" s="33"/>
      <c r="M425" s="145"/>
      <c r="T425" s="54"/>
      <c r="AT425" s="18" t="s">
        <v>187</v>
      </c>
      <c r="AU425" s="18" t="s">
        <v>87</v>
      </c>
    </row>
    <row r="426" spans="2:47" s="1" customFormat="1" ht="11.25">
      <c r="B426" s="33"/>
      <c r="D426" s="146" t="s">
        <v>189</v>
      </c>
      <c r="F426" s="147" t="s">
        <v>1198</v>
      </c>
      <c r="I426" s="144"/>
      <c r="L426" s="33"/>
      <c r="M426" s="145"/>
      <c r="T426" s="54"/>
      <c r="AT426" s="18" t="s">
        <v>189</v>
      </c>
      <c r="AU426" s="18" t="s">
        <v>87</v>
      </c>
    </row>
    <row r="427" spans="2:47" s="1" customFormat="1" ht="107.25">
      <c r="B427" s="33"/>
      <c r="D427" s="142" t="s">
        <v>191</v>
      </c>
      <c r="F427" s="148" t="s">
        <v>1199</v>
      </c>
      <c r="I427" s="144"/>
      <c r="L427" s="33"/>
      <c r="M427" s="145"/>
      <c r="T427" s="54"/>
      <c r="AT427" s="18" t="s">
        <v>191</v>
      </c>
      <c r="AU427" s="18" t="s">
        <v>87</v>
      </c>
    </row>
    <row r="428" spans="2:51" s="12" customFormat="1" ht="11.25">
      <c r="B428" s="149"/>
      <c r="D428" s="142" t="s">
        <v>193</v>
      </c>
      <c r="E428" s="150" t="s">
        <v>3</v>
      </c>
      <c r="F428" s="151" t="s">
        <v>1200</v>
      </c>
      <c r="H428" s="152">
        <v>0.987</v>
      </c>
      <c r="I428" s="153"/>
      <c r="L428" s="149"/>
      <c r="M428" s="154"/>
      <c r="T428" s="155"/>
      <c r="AT428" s="150" t="s">
        <v>193</v>
      </c>
      <c r="AU428" s="150" t="s">
        <v>87</v>
      </c>
      <c r="AV428" s="12" t="s">
        <v>87</v>
      </c>
      <c r="AW428" s="12" t="s">
        <v>36</v>
      </c>
      <c r="AX428" s="12" t="s">
        <v>85</v>
      </c>
      <c r="AY428" s="150" t="s">
        <v>177</v>
      </c>
    </row>
    <row r="429" spans="2:65" s="1" customFormat="1" ht="33" customHeight="1">
      <c r="B429" s="128"/>
      <c r="C429" s="129" t="s">
        <v>1201</v>
      </c>
      <c r="D429" s="129" t="s">
        <v>180</v>
      </c>
      <c r="E429" s="130" t="s">
        <v>1202</v>
      </c>
      <c r="F429" s="131" t="s">
        <v>1203</v>
      </c>
      <c r="G429" s="132" t="s">
        <v>183</v>
      </c>
      <c r="H429" s="133">
        <v>25.411</v>
      </c>
      <c r="I429" s="134"/>
      <c r="J429" s="135">
        <f>ROUND(I429*H429,2)</f>
        <v>0</v>
      </c>
      <c r="K429" s="131" t="s">
        <v>184</v>
      </c>
      <c r="L429" s="33"/>
      <c r="M429" s="136" t="s">
        <v>3</v>
      </c>
      <c r="N429" s="137" t="s">
        <v>48</v>
      </c>
      <c r="P429" s="138">
        <f>O429*H429</f>
        <v>0</v>
      </c>
      <c r="Q429" s="138">
        <v>0</v>
      </c>
      <c r="R429" s="138">
        <f>Q429*H429</f>
        <v>0</v>
      </c>
      <c r="S429" s="138">
        <v>0</v>
      </c>
      <c r="T429" s="139">
        <f>S429*H429</f>
        <v>0</v>
      </c>
      <c r="AR429" s="140" t="s">
        <v>185</v>
      </c>
      <c r="AT429" s="140" t="s">
        <v>180</v>
      </c>
      <c r="AU429" s="140" t="s">
        <v>87</v>
      </c>
      <c r="AY429" s="18" t="s">
        <v>177</v>
      </c>
      <c r="BE429" s="141">
        <f>IF(N429="základní",J429,0)</f>
        <v>0</v>
      </c>
      <c r="BF429" s="141">
        <f>IF(N429="snížená",J429,0)</f>
        <v>0</v>
      </c>
      <c r="BG429" s="141">
        <f>IF(N429="zákl. přenesená",J429,0)</f>
        <v>0</v>
      </c>
      <c r="BH429" s="141">
        <f>IF(N429="sníž. přenesená",J429,0)</f>
        <v>0</v>
      </c>
      <c r="BI429" s="141">
        <f>IF(N429="nulová",J429,0)</f>
        <v>0</v>
      </c>
      <c r="BJ429" s="18" t="s">
        <v>85</v>
      </c>
      <c r="BK429" s="141">
        <f>ROUND(I429*H429,2)</f>
        <v>0</v>
      </c>
      <c r="BL429" s="18" t="s">
        <v>185</v>
      </c>
      <c r="BM429" s="140" t="s">
        <v>1204</v>
      </c>
    </row>
    <row r="430" spans="2:47" s="1" customFormat="1" ht="29.25">
      <c r="B430" s="33"/>
      <c r="D430" s="142" t="s">
        <v>187</v>
      </c>
      <c r="F430" s="143" t="s">
        <v>1205</v>
      </c>
      <c r="I430" s="144"/>
      <c r="L430" s="33"/>
      <c r="M430" s="145"/>
      <c r="T430" s="54"/>
      <c r="AT430" s="18" t="s">
        <v>187</v>
      </c>
      <c r="AU430" s="18" t="s">
        <v>87</v>
      </c>
    </row>
    <row r="431" spans="2:47" s="1" customFormat="1" ht="11.25">
      <c r="B431" s="33"/>
      <c r="D431" s="146" t="s">
        <v>189</v>
      </c>
      <c r="F431" s="147" t="s">
        <v>1206</v>
      </c>
      <c r="I431" s="144"/>
      <c r="L431" s="33"/>
      <c r="M431" s="145"/>
      <c r="T431" s="54"/>
      <c r="AT431" s="18" t="s">
        <v>189</v>
      </c>
      <c r="AU431" s="18" t="s">
        <v>87</v>
      </c>
    </row>
    <row r="432" spans="2:47" s="1" customFormat="1" ht="107.25">
      <c r="B432" s="33"/>
      <c r="D432" s="142" t="s">
        <v>191</v>
      </c>
      <c r="F432" s="148" t="s">
        <v>1199</v>
      </c>
      <c r="I432" s="144"/>
      <c r="L432" s="33"/>
      <c r="M432" s="145"/>
      <c r="T432" s="54"/>
      <c r="AT432" s="18" t="s">
        <v>191</v>
      </c>
      <c r="AU432" s="18" t="s">
        <v>87</v>
      </c>
    </row>
    <row r="433" spans="2:51" s="12" customFormat="1" ht="11.25">
      <c r="B433" s="149"/>
      <c r="D433" s="142" t="s">
        <v>193</v>
      </c>
      <c r="E433" s="150" t="s">
        <v>3</v>
      </c>
      <c r="F433" s="151" t="s">
        <v>1207</v>
      </c>
      <c r="H433" s="152">
        <v>25.411</v>
      </c>
      <c r="I433" s="153"/>
      <c r="L433" s="149"/>
      <c r="M433" s="154"/>
      <c r="T433" s="155"/>
      <c r="AT433" s="150" t="s">
        <v>193</v>
      </c>
      <c r="AU433" s="150" t="s">
        <v>87</v>
      </c>
      <c r="AV433" s="12" t="s">
        <v>87</v>
      </c>
      <c r="AW433" s="12" t="s">
        <v>36</v>
      </c>
      <c r="AX433" s="12" t="s">
        <v>85</v>
      </c>
      <c r="AY433" s="150" t="s">
        <v>177</v>
      </c>
    </row>
    <row r="434" spans="2:65" s="1" customFormat="1" ht="33" customHeight="1">
      <c r="B434" s="128"/>
      <c r="C434" s="129" t="s">
        <v>1208</v>
      </c>
      <c r="D434" s="129" t="s">
        <v>180</v>
      </c>
      <c r="E434" s="130" t="s">
        <v>1209</v>
      </c>
      <c r="F434" s="131" t="s">
        <v>1210</v>
      </c>
      <c r="G434" s="132" t="s">
        <v>183</v>
      </c>
      <c r="H434" s="133">
        <v>7.235</v>
      </c>
      <c r="I434" s="134"/>
      <c r="J434" s="135">
        <f>ROUND(I434*H434,2)</f>
        <v>0</v>
      </c>
      <c r="K434" s="131" t="s">
        <v>184</v>
      </c>
      <c r="L434" s="33"/>
      <c r="M434" s="136" t="s">
        <v>3</v>
      </c>
      <c r="N434" s="137" t="s">
        <v>48</v>
      </c>
      <c r="P434" s="138">
        <f>O434*H434</f>
        <v>0</v>
      </c>
      <c r="Q434" s="138">
        <v>0</v>
      </c>
      <c r="R434" s="138">
        <f>Q434*H434</f>
        <v>0</v>
      </c>
      <c r="S434" s="138">
        <v>0</v>
      </c>
      <c r="T434" s="139">
        <f>S434*H434</f>
        <v>0</v>
      </c>
      <c r="AR434" s="140" t="s">
        <v>185</v>
      </c>
      <c r="AT434" s="140" t="s">
        <v>180</v>
      </c>
      <c r="AU434" s="140" t="s">
        <v>87</v>
      </c>
      <c r="AY434" s="18" t="s">
        <v>177</v>
      </c>
      <c r="BE434" s="141">
        <f>IF(N434="základní",J434,0)</f>
        <v>0</v>
      </c>
      <c r="BF434" s="141">
        <f>IF(N434="snížená",J434,0)</f>
        <v>0</v>
      </c>
      <c r="BG434" s="141">
        <f>IF(N434="zákl. přenesená",J434,0)</f>
        <v>0</v>
      </c>
      <c r="BH434" s="141">
        <f>IF(N434="sníž. přenesená",J434,0)</f>
        <v>0</v>
      </c>
      <c r="BI434" s="141">
        <f>IF(N434="nulová",J434,0)</f>
        <v>0</v>
      </c>
      <c r="BJ434" s="18" t="s">
        <v>85</v>
      </c>
      <c r="BK434" s="141">
        <f>ROUND(I434*H434,2)</f>
        <v>0</v>
      </c>
      <c r="BL434" s="18" t="s">
        <v>185</v>
      </c>
      <c r="BM434" s="140" t="s">
        <v>1211</v>
      </c>
    </row>
    <row r="435" spans="2:47" s="1" customFormat="1" ht="29.25">
      <c r="B435" s="33"/>
      <c r="D435" s="142" t="s">
        <v>187</v>
      </c>
      <c r="F435" s="143" t="s">
        <v>1212</v>
      </c>
      <c r="I435" s="144"/>
      <c r="L435" s="33"/>
      <c r="M435" s="145"/>
      <c r="T435" s="54"/>
      <c r="AT435" s="18" t="s">
        <v>187</v>
      </c>
      <c r="AU435" s="18" t="s">
        <v>87</v>
      </c>
    </row>
    <row r="436" spans="2:47" s="1" customFormat="1" ht="11.25">
      <c r="B436" s="33"/>
      <c r="D436" s="146" t="s">
        <v>189</v>
      </c>
      <c r="F436" s="147" t="s">
        <v>1213</v>
      </c>
      <c r="I436" s="144"/>
      <c r="L436" s="33"/>
      <c r="M436" s="145"/>
      <c r="T436" s="54"/>
      <c r="AT436" s="18" t="s">
        <v>189</v>
      </c>
      <c r="AU436" s="18" t="s">
        <v>87</v>
      </c>
    </row>
    <row r="437" spans="2:47" s="1" customFormat="1" ht="107.25">
      <c r="B437" s="33"/>
      <c r="D437" s="142" t="s">
        <v>191</v>
      </c>
      <c r="F437" s="148" t="s">
        <v>1199</v>
      </c>
      <c r="I437" s="144"/>
      <c r="L437" s="33"/>
      <c r="M437" s="145"/>
      <c r="T437" s="54"/>
      <c r="AT437" s="18" t="s">
        <v>191</v>
      </c>
      <c r="AU437" s="18" t="s">
        <v>87</v>
      </c>
    </row>
    <row r="438" spans="2:65" s="1" customFormat="1" ht="37.9" customHeight="1">
      <c r="B438" s="128"/>
      <c r="C438" s="129" t="s">
        <v>1214</v>
      </c>
      <c r="D438" s="129" t="s">
        <v>180</v>
      </c>
      <c r="E438" s="130" t="s">
        <v>1215</v>
      </c>
      <c r="F438" s="131" t="s">
        <v>1216</v>
      </c>
      <c r="G438" s="132" t="s">
        <v>183</v>
      </c>
      <c r="H438" s="133">
        <v>146.651</v>
      </c>
      <c r="I438" s="134"/>
      <c r="J438" s="135">
        <f>ROUND(I438*H438,2)</f>
        <v>0</v>
      </c>
      <c r="K438" s="131" t="s">
        <v>184</v>
      </c>
      <c r="L438" s="33"/>
      <c r="M438" s="136" t="s">
        <v>3</v>
      </c>
      <c r="N438" s="137" t="s">
        <v>48</v>
      </c>
      <c r="P438" s="138">
        <f>O438*H438</f>
        <v>0</v>
      </c>
      <c r="Q438" s="138">
        <v>0</v>
      </c>
      <c r="R438" s="138">
        <f>Q438*H438</f>
        <v>0</v>
      </c>
      <c r="S438" s="138">
        <v>0</v>
      </c>
      <c r="T438" s="139">
        <f>S438*H438</f>
        <v>0</v>
      </c>
      <c r="AR438" s="140" t="s">
        <v>185</v>
      </c>
      <c r="AT438" s="140" t="s">
        <v>180</v>
      </c>
      <c r="AU438" s="140" t="s">
        <v>87</v>
      </c>
      <c r="AY438" s="18" t="s">
        <v>177</v>
      </c>
      <c r="BE438" s="141">
        <f>IF(N438="základní",J438,0)</f>
        <v>0</v>
      </c>
      <c r="BF438" s="141">
        <f>IF(N438="snížená",J438,0)</f>
        <v>0</v>
      </c>
      <c r="BG438" s="141">
        <f>IF(N438="zákl. přenesená",J438,0)</f>
        <v>0</v>
      </c>
      <c r="BH438" s="141">
        <f>IF(N438="sníž. přenesená",J438,0)</f>
        <v>0</v>
      </c>
      <c r="BI438" s="141">
        <f>IF(N438="nulová",J438,0)</f>
        <v>0</v>
      </c>
      <c r="BJ438" s="18" t="s">
        <v>85</v>
      </c>
      <c r="BK438" s="141">
        <f>ROUND(I438*H438,2)</f>
        <v>0</v>
      </c>
      <c r="BL438" s="18" t="s">
        <v>185</v>
      </c>
      <c r="BM438" s="140" t="s">
        <v>1217</v>
      </c>
    </row>
    <row r="439" spans="2:47" s="1" customFormat="1" ht="29.25">
      <c r="B439" s="33"/>
      <c r="D439" s="142" t="s">
        <v>187</v>
      </c>
      <c r="F439" s="143" t="s">
        <v>1218</v>
      </c>
      <c r="I439" s="144"/>
      <c r="L439" s="33"/>
      <c r="M439" s="145"/>
      <c r="T439" s="54"/>
      <c r="AT439" s="18" t="s">
        <v>187</v>
      </c>
      <c r="AU439" s="18" t="s">
        <v>87</v>
      </c>
    </row>
    <row r="440" spans="2:47" s="1" customFormat="1" ht="11.25">
      <c r="B440" s="33"/>
      <c r="D440" s="146" t="s">
        <v>189</v>
      </c>
      <c r="F440" s="147" t="s">
        <v>1219</v>
      </c>
      <c r="I440" s="144"/>
      <c r="L440" s="33"/>
      <c r="M440" s="145"/>
      <c r="T440" s="54"/>
      <c r="AT440" s="18" t="s">
        <v>189</v>
      </c>
      <c r="AU440" s="18" t="s">
        <v>87</v>
      </c>
    </row>
    <row r="441" spans="2:47" s="1" customFormat="1" ht="58.5">
      <c r="B441" s="33"/>
      <c r="D441" s="142" t="s">
        <v>191</v>
      </c>
      <c r="F441" s="148" t="s">
        <v>228</v>
      </c>
      <c r="I441" s="144"/>
      <c r="L441" s="33"/>
      <c r="M441" s="145"/>
      <c r="T441" s="54"/>
      <c r="AT441" s="18" t="s">
        <v>191</v>
      </c>
      <c r="AU441" s="18" t="s">
        <v>87</v>
      </c>
    </row>
    <row r="442" spans="2:51" s="12" customFormat="1" ht="11.25">
      <c r="B442" s="149"/>
      <c r="D442" s="142" t="s">
        <v>193</v>
      </c>
      <c r="E442" s="150" t="s">
        <v>3</v>
      </c>
      <c r="F442" s="151" t="s">
        <v>1220</v>
      </c>
      <c r="H442" s="152">
        <v>189.145</v>
      </c>
      <c r="I442" s="153"/>
      <c r="L442" s="149"/>
      <c r="M442" s="154"/>
      <c r="T442" s="155"/>
      <c r="AT442" s="150" t="s">
        <v>193</v>
      </c>
      <c r="AU442" s="150" t="s">
        <v>87</v>
      </c>
      <c r="AV442" s="12" t="s">
        <v>87</v>
      </c>
      <c r="AW442" s="12" t="s">
        <v>36</v>
      </c>
      <c r="AX442" s="12" t="s">
        <v>77</v>
      </c>
      <c r="AY442" s="150" t="s">
        <v>177</v>
      </c>
    </row>
    <row r="443" spans="2:51" s="12" customFormat="1" ht="11.25">
      <c r="B443" s="149"/>
      <c r="D443" s="142" t="s">
        <v>193</v>
      </c>
      <c r="E443" s="150" t="s">
        <v>3</v>
      </c>
      <c r="F443" s="151" t="s">
        <v>1221</v>
      </c>
      <c r="H443" s="152">
        <v>-42.494</v>
      </c>
      <c r="I443" s="153"/>
      <c r="L443" s="149"/>
      <c r="M443" s="154"/>
      <c r="T443" s="155"/>
      <c r="AT443" s="150" t="s">
        <v>193</v>
      </c>
      <c r="AU443" s="150" t="s">
        <v>87</v>
      </c>
      <c r="AV443" s="12" t="s">
        <v>87</v>
      </c>
      <c r="AW443" s="12" t="s">
        <v>36</v>
      </c>
      <c r="AX443" s="12" t="s">
        <v>77</v>
      </c>
      <c r="AY443" s="150" t="s">
        <v>177</v>
      </c>
    </row>
    <row r="444" spans="2:51" s="15" customFormat="1" ht="11.25">
      <c r="B444" s="169"/>
      <c r="D444" s="142" t="s">
        <v>193</v>
      </c>
      <c r="E444" s="170" t="s">
        <v>3</v>
      </c>
      <c r="F444" s="171" t="s">
        <v>201</v>
      </c>
      <c r="H444" s="172">
        <v>146.651</v>
      </c>
      <c r="I444" s="173"/>
      <c r="L444" s="169"/>
      <c r="M444" s="174"/>
      <c r="T444" s="175"/>
      <c r="AT444" s="170" t="s">
        <v>193</v>
      </c>
      <c r="AU444" s="170" t="s">
        <v>87</v>
      </c>
      <c r="AV444" s="15" t="s">
        <v>185</v>
      </c>
      <c r="AW444" s="15" t="s">
        <v>36</v>
      </c>
      <c r="AX444" s="15" t="s">
        <v>85</v>
      </c>
      <c r="AY444" s="170" t="s">
        <v>177</v>
      </c>
    </row>
    <row r="445" spans="2:65" s="1" customFormat="1" ht="37.9" customHeight="1">
      <c r="B445" s="128"/>
      <c r="C445" s="129" t="s">
        <v>1222</v>
      </c>
      <c r="D445" s="129" t="s">
        <v>180</v>
      </c>
      <c r="E445" s="130" t="s">
        <v>1223</v>
      </c>
      <c r="F445" s="131" t="s">
        <v>1224</v>
      </c>
      <c r="G445" s="132" t="s">
        <v>183</v>
      </c>
      <c r="H445" s="133">
        <v>5.412</v>
      </c>
      <c r="I445" s="134"/>
      <c r="J445" s="135">
        <f>ROUND(I445*H445,2)</f>
        <v>0</v>
      </c>
      <c r="K445" s="131" t="s">
        <v>184</v>
      </c>
      <c r="L445" s="33"/>
      <c r="M445" s="136" t="s">
        <v>3</v>
      </c>
      <c r="N445" s="137" t="s">
        <v>48</v>
      </c>
      <c r="P445" s="138">
        <f>O445*H445</f>
        <v>0</v>
      </c>
      <c r="Q445" s="138">
        <v>0</v>
      </c>
      <c r="R445" s="138">
        <f>Q445*H445</f>
        <v>0</v>
      </c>
      <c r="S445" s="138">
        <v>0</v>
      </c>
      <c r="T445" s="139">
        <f>S445*H445</f>
        <v>0</v>
      </c>
      <c r="AR445" s="140" t="s">
        <v>185</v>
      </c>
      <c r="AT445" s="140" t="s">
        <v>180</v>
      </c>
      <c r="AU445" s="140" t="s">
        <v>87</v>
      </c>
      <c r="AY445" s="18" t="s">
        <v>177</v>
      </c>
      <c r="BE445" s="141">
        <f>IF(N445="základní",J445,0)</f>
        <v>0</v>
      </c>
      <c r="BF445" s="141">
        <f>IF(N445="snížená",J445,0)</f>
        <v>0</v>
      </c>
      <c r="BG445" s="141">
        <f>IF(N445="zákl. přenesená",J445,0)</f>
        <v>0</v>
      </c>
      <c r="BH445" s="141">
        <f>IF(N445="sníž. přenesená",J445,0)</f>
        <v>0</v>
      </c>
      <c r="BI445" s="141">
        <f>IF(N445="nulová",J445,0)</f>
        <v>0</v>
      </c>
      <c r="BJ445" s="18" t="s">
        <v>85</v>
      </c>
      <c r="BK445" s="141">
        <f>ROUND(I445*H445,2)</f>
        <v>0</v>
      </c>
      <c r="BL445" s="18" t="s">
        <v>185</v>
      </c>
      <c r="BM445" s="140" t="s">
        <v>1225</v>
      </c>
    </row>
    <row r="446" spans="2:47" s="1" customFormat="1" ht="29.25">
      <c r="B446" s="33"/>
      <c r="D446" s="142" t="s">
        <v>187</v>
      </c>
      <c r="F446" s="143" t="s">
        <v>1226</v>
      </c>
      <c r="I446" s="144"/>
      <c r="L446" s="33"/>
      <c r="M446" s="145"/>
      <c r="T446" s="54"/>
      <c r="AT446" s="18" t="s">
        <v>187</v>
      </c>
      <c r="AU446" s="18" t="s">
        <v>87</v>
      </c>
    </row>
    <row r="447" spans="2:47" s="1" customFormat="1" ht="11.25">
      <c r="B447" s="33"/>
      <c r="D447" s="146" t="s">
        <v>189</v>
      </c>
      <c r="F447" s="147" t="s">
        <v>1227</v>
      </c>
      <c r="I447" s="144"/>
      <c r="L447" s="33"/>
      <c r="M447" s="145"/>
      <c r="T447" s="54"/>
      <c r="AT447" s="18" t="s">
        <v>189</v>
      </c>
      <c r="AU447" s="18" t="s">
        <v>87</v>
      </c>
    </row>
    <row r="448" spans="2:47" s="1" customFormat="1" ht="58.5">
      <c r="B448" s="33"/>
      <c r="D448" s="142" t="s">
        <v>191</v>
      </c>
      <c r="F448" s="148" t="s">
        <v>228</v>
      </c>
      <c r="I448" s="144"/>
      <c r="L448" s="33"/>
      <c r="M448" s="145"/>
      <c r="T448" s="54"/>
      <c r="AT448" s="18" t="s">
        <v>191</v>
      </c>
      <c r="AU448" s="18" t="s">
        <v>87</v>
      </c>
    </row>
    <row r="449" spans="2:51" s="12" customFormat="1" ht="11.25">
      <c r="B449" s="149"/>
      <c r="D449" s="142" t="s">
        <v>193</v>
      </c>
      <c r="E449" s="150" t="s">
        <v>3</v>
      </c>
      <c r="F449" s="151" t="s">
        <v>1228</v>
      </c>
      <c r="H449" s="152">
        <v>5.412</v>
      </c>
      <c r="I449" s="153"/>
      <c r="L449" s="149"/>
      <c r="M449" s="154"/>
      <c r="T449" s="155"/>
      <c r="AT449" s="150" t="s">
        <v>193</v>
      </c>
      <c r="AU449" s="150" t="s">
        <v>87</v>
      </c>
      <c r="AV449" s="12" t="s">
        <v>87</v>
      </c>
      <c r="AW449" s="12" t="s">
        <v>36</v>
      </c>
      <c r="AX449" s="12" t="s">
        <v>85</v>
      </c>
      <c r="AY449" s="150" t="s">
        <v>177</v>
      </c>
    </row>
    <row r="450" spans="2:65" s="1" customFormat="1" ht="44.25" customHeight="1">
      <c r="B450" s="128"/>
      <c r="C450" s="129" t="s">
        <v>1229</v>
      </c>
      <c r="D450" s="129" t="s">
        <v>180</v>
      </c>
      <c r="E450" s="130" t="s">
        <v>223</v>
      </c>
      <c r="F450" s="131" t="s">
        <v>224</v>
      </c>
      <c r="G450" s="132" t="s">
        <v>183</v>
      </c>
      <c r="H450" s="133">
        <v>3.449</v>
      </c>
      <c r="I450" s="134"/>
      <c r="J450" s="135">
        <f>ROUND(I450*H450,2)</f>
        <v>0</v>
      </c>
      <c r="K450" s="131" t="s">
        <v>184</v>
      </c>
      <c r="L450" s="33"/>
      <c r="M450" s="136" t="s">
        <v>3</v>
      </c>
      <c r="N450" s="137" t="s">
        <v>48</v>
      </c>
      <c r="P450" s="138">
        <f>O450*H450</f>
        <v>0</v>
      </c>
      <c r="Q450" s="138">
        <v>0</v>
      </c>
      <c r="R450" s="138">
        <f>Q450*H450</f>
        <v>0</v>
      </c>
      <c r="S450" s="138">
        <v>0</v>
      </c>
      <c r="T450" s="139">
        <f>S450*H450</f>
        <v>0</v>
      </c>
      <c r="AR450" s="140" t="s">
        <v>185</v>
      </c>
      <c r="AT450" s="140" t="s">
        <v>180</v>
      </c>
      <c r="AU450" s="140" t="s">
        <v>87</v>
      </c>
      <c r="AY450" s="18" t="s">
        <v>177</v>
      </c>
      <c r="BE450" s="141">
        <f>IF(N450="základní",J450,0)</f>
        <v>0</v>
      </c>
      <c r="BF450" s="141">
        <f>IF(N450="snížená",J450,0)</f>
        <v>0</v>
      </c>
      <c r="BG450" s="141">
        <f>IF(N450="zákl. přenesená",J450,0)</f>
        <v>0</v>
      </c>
      <c r="BH450" s="141">
        <f>IF(N450="sníž. přenesená",J450,0)</f>
        <v>0</v>
      </c>
      <c r="BI450" s="141">
        <f>IF(N450="nulová",J450,0)</f>
        <v>0</v>
      </c>
      <c r="BJ450" s="18" t="s">
        <v>85</v>
      </c>
      <c r="BK450" s="141">
        <f>ROUND(I450*H450,2)</f>
        <v>0</v>
      </c>
      <c r="BL450" s="18" t="s">
        <v>185</v>
      </c>
      <c r="BM450" s="140" t="s">
        <v>1230</v>
      </c>
    </row>
    <row r="451" spans="2:47" s="1" customFormat="1" ht="29.25">
      <c r="B451" s="33"/>
      <c r="D451" s="142" t="s">
        <v>187</v>
      </c>
      <c r="F451" s="143" t="s">
        <v>226</v>
      </c>
      <c r="I451" s="144"/>
      <c r="L451" s="33"/>
      <c r="M451" s="145"/>
      <c r="T451" s="54"/>
      <c r="AT451" s="18" t="s">
        <v>187</v>
      </c>
      <c r="AU451" s="18" t="s">
        <v>87</v>
      </c>
    </row>
    <row r="452" spans="2:47" s="1" customFormat="1" ht="11.25">
      <c r="B452" s="33"/>
      <c r="D452" s="146" t="s">
        <v>189</v>
      </c>
      <c r="F452" s="147" t="s">
        <v>227</v>
      </c>
      <c r="I452" s="144"/>
      <c r="L452" s="33"/>
      <c r="M452" s="145"/>
      <c r="T452" s="54"/>
      <c r="AT452" s="18" t="s">
        <v>189</v>
      </c>
      <c r="AU452" s="18" t="s">
        <v>87</v>
      </c>
    </row>
    <row r="453" spans="2:47" s="1" customFormat="1" ht="58.5">
      <c r="B453" s="33"/>
      <c r="D453" s="142" t="s">
        <v>191</v>
      </c>
      <c r="F453" s="148" t="s">
        <v>228</v>
      </c>
      <c r="I453" s="144"/>
      <c r="L453" s="33"/>
      <c r="M453" s="145"/>
      <c r="T453" s="54"/>
      <c r="AT453" s="18" t="s">
        <v>191</v>
      </c>
      <c r="AU453" s="18" t="s">
        <v>87</v>
      </c>
    </row>
    <row r="454" spans="2:51" s="12" customFormat="1" ht="11.25">
      <c r="B454" s="149"/>
      <c r="D454" s="142" t="s">
        <v>193</v>
      </c>
      <c r="E454" s="150" t="s">
        <v>3</v>
      </c>
      <c r="F454" s="151" t="s">
        <v>1231</v>
      </c>
      <c r="H454" s="152">
        <v>0.774</v>
      </c>
      <c r="I454" s="153"/>
      <c r="L454" s="149"/>
      <c r="M454" s="154"/>
      <c r="T454" s="155"/>
      <c r="AT454" s="150" t="s">
        <v>193</v>
      </c>
      <c r="AU454" s="150" t="s">
        <v>87</v>
      </c>
      <c r="AV454" s="12" t="s">
        <v>87</v>
      </c>
      <c r="AW454" s="12" t="s">
        <v>36</v>
      </c>
      <c r="AX454" s="12" t="s">
        <v>77</v>
      </c>
      <c r="AY454" s="150" t="s">
        <v>177</v>
      </c>
    </row>
    <row r="455" spans="2:51" s="12" customFormat="1" ht="11.25">
      <c r="B455" s="149"/>
      <c r="D455" s="142" t="s">
        <v>193</v>
      </c>
      <c r="E455" s="150" t="s">
        <v>3</v>
      </c>
      <c r="F455" s="151" t="s">
        <v>1232</v>
      </c>
      <c r="H455" s="152">
        <v>2.675</v>
      </c>
      <c r="I455" s="153"/>
      <c r="L455" s="149"/>
      <c r="M455" s="154"/>
      <c r="T455" s="155"/>
      <c r="AT455" s="150" t="s">
        <v>193</v>
      </c>
      <c r="AU455" s="150" t="s">
        <v>87</v>
      </c>
      <c r="AV455" s="12" t="s">
        <v>87</v>
      </c>
      <c r="AW455" s="12" t="s">
        <v>36</v>
      </c>
      <c r="AX455" s="12" t="s">
        <v>77</v>
      </c>
      <c r="AY455" s="150" t="s">
        <v>177</v>
      </c>
    </row>
    <row r="456" spans="2:51" s="15" customFormat="1" ht="11.25">
      <c r="B456" s="169"/>
      <c r="D456" s="142" t="s">
        <v>193</v>
      </c>
      <c r="E456" s="170" t="s">
        <v>3</v>
      </c>
      <c r="F456" s="171" t="s">
        <v>201</v>
      </c>
      <c r="H456" s="172">
        <v>3.449</v>
      </c>
      <c r="I456" s="173"/>
      <c r="L456" s="169"/>
      <c r="M456" s="174"/>
      <c r="T456" s="175"/>
      <c r="AT456" s="170" t="s">
        <v>193</v>
      </c>
      <c r="AU456" s="170" t="s">
        <v>87</v>
      </c>
      <c r="AV456" s="15" t="s">
        <v>185</v>
      </c>
      <c r="AW456" s="15" t="s">
        <v>36</v>
      </c>
      <c r="AX456" s="15" t="s">
        <v>85</v>
      </c>
      <c r="AY456" s="170" t="s">
        <v>177</v>
      </c>
    </row>
    <row r="457" spans="2:63" s="11" customFormat="1" ht="22.9" customHeight="1">
      <c r="B457" s="116"/>
      <c r="D457" s="117" t="s">
        <v>76</v>
      </c>
      <c r="E457" s="126" t="s">
        <v>518</v>
      </c>
      <c r="F457" s="126" t="s">
        <v>519</v>
      </c>
      <c r="I457" s="119"/>
      <c r="J457" s="127">
        <f>BK457</f>
        <v>0</v>
      </c>
      <c r="L457" s="116"/>
      <c r="M457" s="121"/>
      <c r="P457" s="122">
        <f>SUM(P458:P461)</f>
        <v>0</v>
      </c>
      <c r="R457" s="122">
        <f>SUM(R458:R461)</f>
        <v>0</v>
      </c>
      <c r="T457" s="123">
        <f>SUM(T458:T461)</f>
        <v>0</v>
      </c>
      <c r="AR457" s="117" t="s">
        <v>85</v>
      </c>
      <c r="AT457" s="124" t="s">
        <v>76</v>
      </c>
      <c r="AU457" s="124" t="s">
        <v>85</v>
      </c>
      <c r="AY457" s="117" t="s">
        <v>177</v>
      </c>
      <c r="BK457" s="125">
        <f>SUM(BK458:BK461)</f>
        <v>0</v>
      </c>
    </row>
    <row r="458" spans="2:65" s="1" customFormat="1" ht="21.75" customHeight="1">
      <c r="B458" s="128"/>
      <c r="C458" s="129" t="s">
        <v>1233</v>
      </c>
      <c r="D458" s="129" t="s">
        <v>180</v>
      </c>
      <c r="E458" s="130" t="s">
        <v>521</v>
      </c>
      <c r="F458" s="131" t="s">
        <v>522</v>
      </c>
      <c r="G458" s="132" t="s">
        <v>183</v>
      </c>
      <c r="H458" s="133">
        <v>27.406</v>
      </c>
      <c r="I458" s="134"/>
      <c r="J458" s="135">
        <f>ROUND(I458*H458,2)</f>
        <v>0</v>
      </c>
      <c r="K458" s="131" t="s">
        <v>184</v>
      </c>
      <c r="L458" s="33"/>
      <c r="M458" s="136" t="s">
        <v>3</v>
      </c>
      <c r="N458" s="137" t="s">
        <v>48</v>
      </c>
      <c r="P458" s="138">
        <f>O458*H458</f>
        <v>0</v>
      </c>
      <c r="Q458" s="138">
        <v>0</v>
      </c>
      <c r="R458" s="138">
        <f>Q458*H458</f>
        <v>0</v>
      </c>
      <c r="S458" s="138">
        <v>0</v>
      </c>
      <c r="T458" s="139">
        <f>S458*H458</f>
        <v>0</v>
      </c>
      <c r="AR458" s="140" t="s">
        <v>185</v>
      </c>
      <c r="AT458" s="140" t="s">
        <v>180</v>
      </c>
      <c r="AU458" s="140" t="s">
        <v>87</v>
      </c>
      <c r="AY458" s="18" t="s">
        <v>177</v>
      </c>
      <c r="BE458" s="141">
        <f>IF(N458="základní",J458,0)</f>
        <v>0</v>
      </c>
      <c r="BF458" s="141">
        <f>IF(N458="snížená",J458,0)</f>
        <v>0</v>
      </c>
      <c r="BG458" s="141">
        <f>IF(N458="zákl. přenesená",J458,0)</f>
        <v>0</v>
      </c>
      <c r="BH458" s="141">
        <f>IF(N458="sníž. přenesená",J458,0)</f>
        <v>0</v>
      </c>
      <c r="BI458" s="141">
        <f>IF(N458="nulová",J458,0)</f>
        <v>0</v>
      </c>
      <c r="BJ458" s="18" t="s">
        <v>85</v>
      </c>
      <c r="BK458" s="141">
        <f>ROUND(I458*H458,2)</f>
        <v>0</v>
      </c>
      <c r="BL458" s="18" t="s">
        <v>185</v>
      </c>
      <c r="BM458" s="140" t="s">
        <v>1234</v>
      </c>
    </row>
    <row r="459" spans="2:47" s="1" customFormat="1" ht="39">
      <c r="B459" s="33"/>
      <c r="D459" s="142" t="s">
        <v>187</v>
      </c>
      <c r="F459" s="143" t="s">
        <v>524</v>
      </c>
      <c r="I459" s="144"/>
      <c r="L459" s="33"/>
      <c r="M459" s="145"/>
      <c r="T459" s="54"/>
      <c r="AT459" s="18" t="s">
        <v>187</v>
      </c>
      <c r="AU459" s="18" t="s">
        <v>87</v>
      </c>
    </row>
    <row r="460" spans="2:47" s="1" customFormat="1" ht="11.25">
      <c r="B460" s="33"/>
      <c r="D460" s="146" t="s">
        <v>189</v>
      </c>
      <c r="F460" s="147" t="s">
        <v>525</v>
      </c>
      <c r="I460" s="144"/>
      <c r="L460" s="33"/>
      <c r="M460" s="145"/>
      <c r="T460" s="54"/>
      <c r="AT460" s="18" t="s">
        <v>189</v>
      </c>
      <c r="AU460" s="18" t="s">
        <v>87</v>
      </c>
    </row>
    <row r="461" spans="2:47" s="1" customFormat="1" ht="87.75">
      <c r="B461" s="33"/>
      <c r="D461" s="142" t="s">
        <v>191</v>
      </c>
      <c r="F461" s="148" t="s">
        <v>526</v>
      </c>
      <c r="I461" s="144"/>
      <c r="L461" s="33"/>
      <c r="M461" s="145"/>
      <c r="T461" s="54"/>
      <c r="AT461" s="18" t="s">
        <v>191</v>
      </c>
      <c r="AU461" s="18" t="s">
        <v>87</v>
      </c>
    </row>
    <row r="462" spans="2:63" s="11" customFormat="1" ht="25.9" customHeight="1">
      <c r="B462" s="116"/>
      <c r="D462" s="117" t="s">
        <v>76</v>
      </c>
      <c r="E462" s="118" t="s">
        <v>229</v>
      </c>
      <c r="F462" s="118" t="s">
        <v>230</v>
      </c>
      <c r="I462" s="119"/>
      <c r="J462" s="120">
        <f>BK462</f>
        <v>0</v>
      </c>
      <c r="L462" s="116"/>
      <c r="M462" s="121"/>
      <c r="P462" s="122">
        <f>P463+P481+P493+P507+P531</f>
        <v>0</v>
      </c>
      <c r="R462" s="122">
        <f>R463+R481+R493+R507+R531</f>
        <v>0</v>
      </c>
      <c r="T462" s="123">
        <f>T463+T481+T493+T507+T531</f>
        <v>45.654050119999994</v>
      </c>
      <c r="AR462" s="117" t="s">
        <v>87</v>
      </c>
      <c r="AT462" s="124" t="s">
        <v>76</v>
      </c>
      <c r="AU462" s="124" t="s">
        <v>77</v>
      </c>
      <c r="AY462" s="117" t="s">
        <v>177</v>
      </c>
      <c r="BK462" s="125">
        <f>BK463+BK481+BK493+BK507+BK531</f>
        <v>0</v>
      </c>
    </row>
    <row r="463" spans="2:63" s="11" customFormat="1" ht="22.9" customHeight="1">
      <c r="B463" s="116"/>
      <c r="D463" s="117" t="s">
        <v>76</v>
      </c>
      <c r="E463" s="126" t="s">
        <v>1235</v>
      </c>
      <c r="F463" s="126" t="s">
        <v>1236</v>
      </c>
      <c r="I463" s="119"/>
      <c r="J463" s="127">
        <f>BK463</f>
        <v>0</v>
      </c>
      <c r="L463" s="116"/>
      <c r="M463" s="121"/>
      <c r="P463" s="122">
        <f>SUM(P464:P480)</f>
        <v>0</v>
      </c>
      <c r="R463" s="122">
        <f>SUM(R464:R480)</f>
        <v>0</v>
      </c>
      <c r="T463" s="123">
        <f>SUM(T464:T480)</f>
        <v>8.020929</v>
      </c>
      <c r="AR463" s="117" t="s">
        <v>87</v>
      </c>
      <c r="AT463" s="124" t="s">
        <v>76</v>
      </c>
      <c r="AU463" s="124" t="s">
        <v>85</v>
      </c>
      <c r="AY463" s="117" t="s">
        <v>177</v>
      </c>
      <c r="BK463" s="125">
        <f>SUM(BK464:BK480)</f>
        <v>0</v>
      </c>
    </row>
    <row r="464" spans="2:65" s="1" customFormat="1" ht="24.2" customHeight="1">
      <c r="B464" s="128"/>
      <c r="C464" s="129" t="s">
        <v>1237</v>
      </c>
      <c r="D464" s="129" t="s">
        <v>180</v>
      </c>
      <c r="E464" s="130" t="s">
        <v>1238</v>
      </c>
      <c r="F464" s="131" t="s">
        <v>1239</v>
      </c>
      <c r="G464" s="132" t="s">
        <v>332</v>
      </c>
      <c r="H464" s="133">
        <v>378.652</v>
      </c>
      <c r="I464" s="134"/>
      <c r="J464" s="135">
        <f>ROUND(I464*H464,2)</f>
        <v>0</v>
      </c>
      <c r="K464" s="131" t="s">
        <v>184</v>
      </c>
      <c r="L464" s="33"/>
      <c r="M464" s="136" t="s">
        <v>3</v>
      </c>
      <c r="N464" s="137" t="s">
        <v>48</v>
      </c>
      <c r="P464" s="138">
        <f>O464*H464</f>
        <v>0</v>
      </c>
      <c r="Q464" s="138">
        <v>0</v>
      </c>
      <c r="R464" s="138">
        <f>Q464*H464</f>
        <v>0</v>
      </c>
      <c r="S464" s="138">
        <v>0.0165</v>
      </c>
      <c r="T464" s="139">
        <f>S464*H464</f>
        <v>6.247758</v>
      </c>
      <c r="AR464" s="140" t="s">
        <v>237</v>
      </c>
      <c r="AT464" s="140" t="s">
        <v>180</v>
      </c>
      <c r="AU464" s="140" t="s">
        <v>87</v>
      </c>
      <c r="AY464" s="18" t="s">
        <v>177</v>
      </c>
      <c r="BE464" s="141">
        <f>IF(N464="základní",J464,0)</f>
        <v>0</v>
      </c>
      <c r="BF464" s="141">
        <f>IF(N464="snížená",J464,0)</f>
        <v>0</v>
      </c>
      <c r="BG464" s="141">
        <f>IF(N464="zákl. přenesená",J464,0)</f>
        <v>0</v>
      </c>
      <c r="BH464" s="141">
        <f>IF(N464="sníž. přenesená",J464,0)</f>
        <v>0</v>
      </c>
      <c r="BI464" s="141">
        <f>IF(N464="nulová",J464,0)</f>
        <v>0</v>
      </c>
      <c r="BJ464" s="18" t="s">
        <v>85</v>
      </c>
      <c r="BK464" s="141">
        <f>ROUND(I464*H464,2)</f>
        <v>0</v>
      </c>
      <c r="BL464" s="18" t="s">
        <v>237</v>
      </c>
      <c r="BM464" s="140" t="s">
        <v>1240</v>
      </c>
    </row>
    <row r="465" spans="2:47" s="1" customFormat="1" ht="19.5">
      <c r="B465" s="33"/>
      <c r="D465" s="142" t="s">
        <v>187</v>
      </c>
      <c r="F465" s="143" t="s">
        <v>1241</v>
      </c>
      <c r="I465" s="144"/>
      <c r="L465" s="33"/>
      <c r="M465" s="145"/>
      <c r="T465" s="54"/>
      <c r="AT465" s="18" t="s">
        <v>187</v>
      </c>
      <c r="AU465" s="18" t="s">
        <v>87</v>
      </c>
    </row>
    <row r="466" spans="2:47" s="1" customFormat="1" ht="11.25">
      <c r="B466" s="33"/>
      <c r="D466" s="146" t="s">
        <v>189</v>
      </c>
      <c r="F466" s="147" t="s">
        <v>1242</v>
      </c>
      <c r="I466" s="144"/>
      <c r="L466" s="33"/>
      <c r="M466" s="145"/>
      <c r="T466" s="54"/>
      <c r="AT466" s="18" t="s">
        <v>189</v>
      </c>
      <c r="AU466" s="18" t="s">
        <v>87</v>
      </c>
    </row>
    <row r="467" spans="2:51" s="13" customFormat="1" ht="11.25">
      <c r="B467" s="156"/>
      <c r="D467" s="142" t="s">
        <v>193</v>
      </c>
      <c r="E467" s="157" t="s">
        <v>3</v>
      </c>
      <c r="F467" s="158" t="s">
        <v>1006</v>
      </c>
      <c r="H467" s="157" t="s">
        <v>3</v>
      </c>
      <c r="I467" s="159"/>
      <c r="L467" s="156"/>
      <c r="M467" s="160"/>
      <c r="T467" s="161"/>
      <c r="AT467" s="157" t="s">
        <v>193</v>
      </c>
      <c r="AU467" s="157" t="s">
        <v>87</v>
      </c>
      <c r="AV467" s="13" t="s">
        <v>85</v>
      </c>
      <c r="AW467" s="13" t="s">
        <v>36</v>
      </c>
      <c r="AX467" s="13" t="s">
        <v>77</v>
      </c>
      <c r="AY467" s="157" t="s">
        <v>177</v>
      </c>
    </row>
    <row r="468" spans="2:51" s="12" customFormat="1" ht="11.25">
      <c r="B468" s="149"/>
      <c r="D468" s="142" t="s">
        <v>193</v>
      </c>
      <c r="E468" s="150" t="s">
        <v>3</v>
      </c>
      <c r="F468" s="151" t="s">
        <v>1243</v>
      </c>
      <c r="H468" s="152">
        <v>56.53</v>
      </c>
      <c r="I468" s="153"/>
      <c r="L468" s="149"/>
      <c r="M468" s="154"/>
      <c r="T468" s="155"/>
      <c r="AT468" s="150" t="s">
        <v>193</v>
      </c>
      <c r="AU468" s="150" t="s">
        <v>87</v>
      </c>
      <c r="AV468" s="12" t="s">
        <v>87</v>
      </c>
      <c r="AW468" s="12" t="s">
        <v>36</v>
      </c>
      <c r="AX468" s="12" t="s">
        <v>77</v>
      </c>
      <c r="AY468" s="150" t="s">
        <v>177</v>
      </c>
    </row>
    <row r="469" spans="2:51" s="14" customFormat="1" ht="11.25">
      <c r="B469" s="162"/>
      <c r="D469" s="142" t="s">
        <v>193</v>
      </c>
      <c r="E469" s="163" t="s">
        <v>3</v>
      </c>
      <c r="F469" s="164" t="s">
        <v>197</v>
      </c>
      <c r="H469" s="165">
        <v>56.53</v>
      </c>
      <c r="I469" s="166"/>
      <c r="L469" s="162"/>
      <c r="M469" s="167"/>
      <c r="T469" s="168"/>
      <c r="AT469" s="163" t="s">
        <v>193</v>
      </c>
      <c r="AU469" s="163" t="s">
        <v>87</v>
      </c>
      <c r="AV469" s="14" t="s">
        <v>198</v>
      </c>
      <c r="AW469" s="14" t="s">
        <v>36</v>
      </c>
      <c r="AX469" s="14" t="s">
        <v>77</v>
      </c>
      <c r="AY469" s="163" t="s">
        <v>177</v>
      </c>
    </row>
    <row r="470" spans="2:51" s="13" customFormat="1" ht="11.25">
      <c r="B470" s="156"/>
      <c r="D470" s="142" t="s">
        <v>193</v>
      </c>
      <c r="E470" s="157" t="s">
        <v>3</v>
      </c>
      <c r="F470" s="158" t="s">
        <v>1244</v>
      </c>
      <c r="H470" s="157" t="s">
        <v>3</v>
      </c>
      <c r="I470" s="159"/>
      <c r="L470" s="156"/>
      <c r="M470" s="160"/>
      <c r="T470" s="161"/>
      <c r="AT470" s="157" t="s">
        <v>193</v>
      </c>
      <c r="AU470" s="157" t="s">
        <v>87</v>
      </c>
      <c r="AV470" s="13" t="s">
        <v>85</v>
      </c>
      <c r="AW470" s="13" t="s">
        <v>36</v>
      </c>
      <c r="AX470" s="13" t="s">
        <v>77</v>
      </c>
      <c r="AY470" s="157" t="s">
        <v>177</v>
      </c>
    </row>
    <row r="471" spans="2:51" s="12" customFormat="1" ht="11.25">
      <c r="B471" s="149"/>
      <c r="D471" s="142" t="s">
        <v>193</v>
      </c>
      <c r="E471" s="150" t="s">
        <v>3</v>
      </c>
      <c r="F471" s="151" t="s">
        <v>1245</v>
      </c>
      <c r="H471" s="152">
        <v>289.227</v>
      </c>
      <c r="I471" s="153"/>
      <c r="L471" s="149"/>
      <c r="M471" s="154"/>
      <c r="T471" s="155"/>
      <c r="AT471" s="150" t="s">
        <v>193</v>
      </c>
      <c r="AU471" s="150" t="s">
        <v>87</v>
      </c>
      <c r="AV471" s="12" t="s">
        <v>87</v>
      </c>
      <c r="AW471" s="12" t="s">
        <v>36</v>
      </c>
      <c r="AX471" s="12" t="s">
        <v>77</v>
      </c>
      <c r="AY471" s="150" t="s">
        <v>177</v>
      </c>
    </row>
    <row r="472" spans="2:51" s="12" customFormat="1" ht="11.25">
      <c r="B472" s="149"/>
      <c r="D472" s="142" t="s">
        <v>193</v>
      </c>
      <c r="E472" s="150" t="s">
        <v>3</v>
      </c>
      <c r="F472" s="151" t="s">
        <v>1246</v>
      </c>
      <c r="H472" s="152">
        <v>32.895</v>
      </c>
      <c r="I472" s="153"/>
      <c r="L472" s="149"/>
      <c r="M472" s="154"/>
      <c r="T472" s="155"/>
      <c r="AT472" s="150" t="s">
        <v>193</v>
      </c>
      <c r="AU472" s="150" t="s">
        <v>87</v>
      </c>
      <c r="AV472" s="12" t="s">
        <v>87</v>
      </c>
      <c r="AW472" s="12" t="s">
        <v>36</v>
      </c>
      <c r="AX472" s="12" t="s">
        <v>77</v>
      </c>
      <c r="AY472" s="150" t="s">
        <v>177</v>
      </c>
    </row>
    <row r="473" spans="2:51" s="14" customFormat="1" ht="11.25">
      <c r="B473" s="162"/>
      <c r="D473" s="142" t="s">
        <v>193</v>
      </c>
      <c r="E473" s="163" t="s">
        <v>3</v>
      </c>
      <c r="F473" s="164" t="s">
        <v>197</v>
      </c>
      <c r="H473" s="165">
        <v>322.122</v>
      </c>
      <c r="I473" s="166"/>
      <c r="L473" s="162"/>
      <c r="M473" s="167"/>
      <c r="T473" s="168"/>
      <c r="AT473" s="163" t="s">
        <v>193</v>
      </c>
      <c r="AU473" s="163" t="s">
        <v>87</v>
      </c>
      <c r="AV473" s="14" t="s">
        <v>198</v>
      </c>
      <c r="AW473" s="14" t="s">
        <v>36</v>
      </c>
      <c r="AX473" s="14" t="s">
        <v>77</v>
      </c>
      <c r="AY473" s="163" t="s">
        <v>177</v>
      </c>
    </row>
    <row r="474" spans="2:51" s="15" customFormat="1" ht="11.25">
      <c r="B474" s="169"/>
      <c r="D474" s="142" t="s">
        <v>193</v>
      </c>
      <c r="E474" s="170" t="s">
        <v>3</v>
      </c>
      <c r="F474" s="171" t="s">
        <v>201</v>
      </c>
      <c r="H474" s="172">
        <v>378.652</v>
      </c>
      <c r="I474" s="173"/>
      <c r="L474" s="169"/>
      <c r="M474" s="174"/>
      <c r="T474" s="175"/>
      <c r="AT474" s="170" t="s">
        <v>193</v>
      </c>
      <c r="AU474" s="170" t="s">
        <v>87</v>
      </c>
      <c r="AV474" s="15" t="s">
        <v>185</v>
      </c>
      <c r="AW474" s="15" t="s">
        <v>36</v>
      </c>
      <c r="AX474" s="15" t="s">
        <v>85</v>
      </c>
      <c r="AY474" s="170" t="s">
        <v>177</v>
      </c>
    </row>
    <row r="475" spans="2:65" s="1" customFormat="1" ht="33" customHeight="1">
      <c r="B475" s="128"/>
      <c r="C475" s="129" t="s">
        <v>1247</v>
      </c>
      <c r="D475" s="129" t="s">
        <v>180</v>
      </c>
      <c r="E475" s="130" t="s">
        <v>1248</v>
      </c>
      <c r="F475" s="131" t="s">
        <v>1249</v>
      </c>
      <c r="G475" s="132" t="s">
        <v>332</v>
      </c>
      <c r="H475" s="133">
        <v>322.122</v>
      </c>
      <c r="I475" s="134"/>
      <c r="J475" s="135">
        <f>ROUND(I475*H475,2)</f>
        <v>0</v>
      </c>
      <c r="K475" s="131" t="s">
        <v>184</v>
      </c>
      <c r="L475" s="33"/>
      <c r="M475" s="136" t="s">
        <v>3</v>
      </c>
      <c r="N475" s="137" t="s">
        <v>48</v>
      </c>
      <c r="P475" s="138">
        <f>O475*H475</f>
        <v>0</v>
      </c>
      <c r="Q475" s="138">
        <v>0</v>
      </c>
      <c r="R475" s="138">
        <f>Q475*H475</f>
        <v>0</v>
      </c>
      <c r="S475" s="138">
        <v>0.0055</v>
      </c>
      <c r="T475" s="139">
        <f>S475*H475</f>
        <v>1.771671</v>
      </c>
      <c r="AR475" s="140" t="s">
        <v>237</v>
      </c>
      <c r="AT475" s="140" t="s">
        <v>180</v>
      </c>
      <c r="AU475" s="140" t="s">
        <v>87</v>
      </c>
      <c r="AY475" s="18" t="s">
        <v>177</v>
      </c>
      <c r="BE475" s="141">
        <f>IF(N475="základní",J475,0)</f>
        <v>0</v>
      </c>
      <c r="BF475" s="141">
        <f>IF(N475="snížená",J475,0)</f>
        <v>0</v>
      </c>
      <c r="BG475" s="141">
        <f>IF(N475="zákl. přenesená",J475,0)</f>
        <v>0</v>
      </c>
      <c r="BH475" s="141">
        <f>IF(N475="sníž. přenesená",J475,0)</f>
        <v>0</v>
      </c>
      <c r="BI475" s="141">
        <f>IF(N475="nulová",J475,0)</f>
        <v>0</v>
      </c>
      <c r="BJ475" s="18" t="s">
        <v>85</v>
      </c>
      <c r="BK475" s="141">
        <f>ROUND(I475*H475,2)</f>
        <v>0</v>
      </c>
      <c r="BL475" s="18" t="s">
        <v>237</v>
      </c>
      <c r="BM475" s="140" t="s">
        <v>1250</v>
      </c>
    </row>
    <row r="476" spans="2:47" s="1" customFormat="1" ht="29.25">
      <c r="B476" s="33"/>
      <c r="D476" s="142" t="s">
        <v>187</v>
      </c>
      <c r="F476" s="143" t="s">
        <v>1251</v>
      </c>
      <c r="I476" s="144"/>
      <c r="L476" s="33"/>
      <c r="M476" s="145"/>
      <c r="T476" s="54"/>
      <c r="AT476" s="18" t="s">
        <v>187</v>
      </c>
      <c r="AU476" s="18" t="s">
        <v>87</v>
      </c>
    </row>
    <row r="477" spans="2:47" s="1" customFormat="1" ht="11.25">
      <c r="B477" s="33"/>
      <c r="D477" s="146" t="s">
        <v>189</v>
      </c>
      <c r="F477" s="147" t="s">
        <v>1252</v>
      </c>
      <c r="I477" s="144"/>
      <c r="L477" s="33"/>
      <c r="M477" s="145"/>
      <c r="T477" s="54"/>
      <c r="AT477" s="18" t="s">
        <v>189</v>
      </c>
      <c r="AU477" s="18" t="s">
        <v>87</v>
      </c>
    </row>
    <row r="478" spans="2:65" s="1" customFormat="1" ht="24.2" customHeight="1">
      <c r="B478" s="128"/>
      <c r="C478" s="129" t="s">
        <v>1253</v>
      </c>
      <c r="D478" s="129" t="s">
        <v>180</v>
      </c>
      <c r="E478" s="130" t="s">
        <v>1254</v>
      </c>
      <c r="F478" s="131" t="s">
        <v>1255</v>
      </c>
      <c r="G478" s="132" t="s">
        <v>236</v>
      </c>
      <c r="H478" s="133">
        <v>5</v>
      </c>
      <c r="I478" s="134"/>
      <c r="J478" s="135">
        <f>ROUND(I478*H478,2)</f>
        <v>0</v>
      </c>
      <c r="K478" s="131" t="s">
        <v>184</v>
      </c>
      <c r="L478" s="33"/>
      <c r="M478" s="136" t="s">
        <v>3</v>
      </c>
      <c r="N478" s="137" t="s">
        <v>48</v>
      </c>
      <c r="P478" s="138">
        <f>O478*H478</f>
        <v>0</v>
      </c>
      <c r="Q478" s="138">
        <v>0</v>
      </c>
      <c r="R478" s="138">
        <f>Q478*H478</f>
        <v>0</v>
      </c>
      <c r="S478" s="138">
        <v>0.0003</v>
      </c>
      <c r="T478" s="139">
        <f>S478*H478</f>
        <v>0.0014999999999999998</v>
      </c>
      <c r="AR478" s="140" t="s">
        <v>237</v>
      </c>
      <c r="AT478" s="140" t="s">
        <v>180</v>
      </c>
      <c r="AU478" s="140" t="s">
        <v>87</v>
      </c>
      <c r="AY478" s="18" t="s">
        <v>177</v>
      </c>
      <c r="BE478" s="141">
        <f>IF(N478="základní",J478,0)</f>
        <v>0</v>
      </c>
      <c r="BF478" s="141">
        <f>IF(N478="snížená",J478,0)</f>
        <v>0</v>
      </c>
      <c r="BG478" s="141">
        <f>IF(N478="zákl. přenesená",J478,0)</f>
        <v>0</v>
      </c>
      <c r="BH478" s="141">
        <f>IF(N478="sníž. přenesená",J478,0)</f>
        <v>0</v>
      </c>
      <c r="BI478" s="141">
        <f>IF(N478="nulová",J478,0)</f>
        <v>0</v>
      </c>
      <c r="BJ478" s="18" t="s">
        <v>85</v>
      </c>
      <c r="BK478" s="141">
        <f>ROUND(I478*H478,2)</f>
        <v>0</v>
      </c>
      <c r="BL478" s="18" t="s">
        <v>237</v>
      </c>
      <c r="BM478" s="140" t="s">
        <v>1256</v>
      </c>
    </row>
    <row r="479" spans="2:47" s="1" customFormat="1" ht="19.5">
      <c r="B479" s="33"/>
      <c r="D479" s="142" t="s">
        <v>187</v>
      </c>
      <c r="F479" s="143" t="s">
        <v>1257</v>
      </c>
      <c r="I479" s="144"/>
      <c r="L479" s="33"/>
      <c r="M479" s="145"/>
      <c r="T479" s="54"/>
      <c r="AT479" s="18" t="s">
        <v>187</v>
      </c>
      <c r="AU479" s="18" t="s">
        <v>87</v>
      </c>
    </row>
    <row r="480" spans="2:47" s="1" customFormat="1" ht="11.25">
      <c r="B480" s="33"/>
      <c r="D480" s="146" t="s">
        <v>189</v>
      </c>
      <c r="F480" s="147" t="s">
        <v>1258</v>
      </c>
      <c r="I480" s="144"/>
      <c r="L480" s="33"/>
      <c r="M480" s="145"/>
      <c r="T480" s="54"/>
      <c r="AT480" s="18" t="s">
        <v>189</v>
      </c>
      <c r="AU480" s="18" t="s">
        <v>87</v>
      </c>
    </row>
    <row r="481" spans="2:63" s="11" customFormat="1" ht="22.9" customHeight="1">
      <c r="B481" s="116"/>
      <c r="D481" s="117" t="s">
        <v>76</v>
      </c>
      <c r="E481" s="126" t="s">
        <v>769</v>
      </c>
      <c r="F481" s="126" t="s">
        <v>770</v>
      </c>
      <c r="I481" s="119"/>
      <c r="J481" s="127">
        <f>BK481</f>
        <v>0</v>
      </c>
      <c r="L481" s="116"/>
      <c r="M481" s="121"/>
      <c r="P481" s="122">
        <f>SUM(P482:P492)</f>
        <v>0</v>
      </c>
      <c r="R481" s="122">
        <f>SUM(R482:R492)</f>
        <v>0</v>
      </c>
      <c r="T481" s="123">
        <f>SUM(T482:T492)</f>
        <v>21.045671999999996</v>
      </c>
      <c r="AR481" s="117" t="s">
        <v>87</v>
      </c>
      <c r="AT481" s="124" t="s">
        <v>76</v>
      </c>
      <c r="AU481" s="124" t="s">
        <v>85</v>
      </c>
      <c r="AY481" s="117" t="s">
        <v>177</v>
      </c>
      <c r="BK481" s="125">
        <f>SUM(BK482:BK492)</f>
        <v>0</v>
      </c>
    </row>
    <row r="482" spans="2:65" s="1" customFormat="1" ht="37.9" customHeight="1">
      <c r="B482" s="128"/>
      <c r="C482" s="129" t="s">
        <v>1259</v>
      </c>
      <c r="D482" s="129" t="s">
        <v>180</v>
      </c>
      <c r="E482" s="130" t="s">
        <v>1260</v>
      </c>
      <c r="F482" s="131" t="s">
        <v>1261</v>
      </c>
      <c r="G482" s="132" t="s">
        <v>332</v>
      </c>
      <c r="H482" s="133">
        <v>289.227</v>
      </c>
      <c r="I482" s="134"/>
      <c r="J482" s="135">
        <f>ROUND(I482*H482,2)</f>
        <v>0</v>
      </c>
      <c r="K482" s="131" t="s">
        <v>184</v>
      </c>
      <c r="L482" s="33"/>
      <c r="M482" s="136" t="s">
        <v>3</v>
      </c>
      <c r="N482" s="137" t="s">
        <v>48</v>
      </c>
      <c r="P482" s="138">
        <f>O482*H482</f>
        <v>0</v>
      </c>
      <c r="Q482" s="138">
        <v>0</v>
      </c>
      <c r="R482" s="138">
        <f>Q482*H482</f>
        <v>0</v>
      </c>
      <c r="S482" s="138">
        <v>0.072</v>
      </c>
      <c r="T482" s="139">
        <f>S482*H482</f>
        <v>20.824343999999996</v>
      </c>
      <c r="AR482" s="140" t="s">
        <v>237</v>
      </c>
      <c r="AT482" s="140" t="s">
        <v>180</v>
      </c>
      <c r="AU482" s="140" t="s">
        <v>87</v>
      </c>
      <c r="AY482" s="18" t="s">
        <v>177</v>
      </c>
      <c r="BE482" s="141">
        <f>IF(N482="základní",J482,0)</f>
        <v>0</v>
      </c>
      <c r="BF482" s="141">
        <f>IF(N482="snížená",J482,0)</f>
        <v>0</v>
      </c>
      <c r="BG482" s="141">
        <f>IF(N482="zákl. přenesená",J482,0)</f>
        <v>0</v>
      </c>
      <c r="BH482" s="141">
        <f>IF(N482="sníž. přenesená",J482,0)</f>
        <v>0</v>
      </c>
      <c r="BI482" s="141">
        <f>IF(N482="nulová",J482,0)</f>
        <v>0</v>
      </c>
      <c r="BJ482" s="18" t="s">
        <v>85</v>
      </c>
      <c r="BK482" s="141">
        <f>ROUND(I482*H482,2)</f>
        <v>0</v>
      </c>
      <c r="BL482" s="18" t="s">
        <v>237</v>
      </c>
      <c r="BM482" s="140" t="s">
        <v>1262</v>
      </c>
    </row>
    <row r="483" spans="2:47" s="1" customFormat="1" ht="29.25">
      <c r="B483" s="33"/>
      <c r="D483" s="142" t="s">
        <v>187</v>
      </c>
      <c r="F483" s="143" t="s">
        <v>1263</v>
      </c>
      <c r="I483" s="144"/>
      <c r="L483" s="33"/>
      <c r="M483" s="145"/>
      <c r="T483" s="54"/>
      <c r="AT483" s="18" t="s">
        <v>187</v>
      </c>
      <c r="AU483" s="18" t="s">
        <v>87</v>
      </c>
    </row>
    <row r="484" spans="2:47" s="1" customFormat="1" ht="11.25">
      <c r="B484" s="33"/>
      <c r="D484" s="146" t="s">
        <v>189</v>
      </c>
      <c r="F484" s="147" t="s">
        <v>1264</v>
      </c>
      <c r="I484" s="144"/>
      <c r="L484" s="33"/>
      <c r="M484" s="145"/>
      <c r="T484" s="54"/>
      <c r="AT484" s="18" t="s">
        <v>189</v>
      </c>
      <c r="AU484" s="18" t="s">
        <v>87</v>
      </c>
    </row>
    <row r="485" spans="2:47" s="1" customFormat="1" ht="87.75">
      <c r="B485" s="33"/>
      <c r="D485" s="142" t="s">
        <v>191</v>
      </c>
      <c r="F485" s="148" t="s">
        <v>1265</v>
      </c>
      <c r="I485" s="144"/>
      <c r="L485" s="33"/>
      <c r="M485" s="145"/>
      <c r="T485" s="54"/>
      <c r="AT485" s="18" t="s">
        <v>191</v>
      </c>
      <c r="AU485" s="18" t="s">
        <v>87</v>
      </c>
    </row>
    <row r="486" spans="2:51" s="12" customFormat="1" ht="11.25">
      <c r="B486" s="149"/>
      <c r="D486" s="142" t="s">
        <v>193</v>
      </c>
      <c r="E486" s="150" t="s">
        <v>3</v>
      </c>
      <c r="F486" s="151" t="s">
        <v>1245</v>
      </c>
      <c r="H486" s="152">
        <v>289.227</v>
      </c>
      <c r="I486" s="153"/>
      <c r="L486" s="149"/>
      <c r="M486" s="154"/>
      <c r="T486" s="155"/>
      <c r="AT486" s="150" t="s">
        <v>193</v>
      </c>
      <c r="AU486" s="150" t="s">
        <v>87</v>
      </c>
      <c r="AV486" s="12" t="s">
        <v>87</v>
      </c>
      <c r="AW486" s="12" t="s">
        <v>36</v>
      </c>
      <c r="AX486" s="12" t="s">
        <v>85</v>
      </c>
      <c r="AY486" s="150" t="s">
        <v>177</v>
      </c>
    </row>
    <row r="487" spans="2:65" s="1" customFormat="1" ht="33" customHeight="1">
      <c r="B487" s="128"/>
      <c r="C487" s="129" t="s">
        <v>1266</v>
      </c>
      <c r="D487" s="129" t="s">
        <v>180</v>
      </c>
      <c r="E487" s="130" t="s">
        <v>1267</v>
      </c>
      <c r="F487" s="131" t="s">
        <v>1268</v>
      </c>
      <c r="G487" s="132" t="s">
        <v>332</v>
      </c>
      <c r="H487" s="133">
        <v>41.76</v>
      </c>
      <c r="I487" s="134"/>
      <c r="J487" s="135">
        <f>ROUND(I487*H487,2)</f>
        <v>0</v>
      </c>
      <c r="K487" s="131" t="s">
        <v>184</v>
      </c>
      <c r="L487" s="33"/>
      <c r="M487" s="136" t="s">
        <v>3</v>
      </c>
      <c r="N487" s="137" t="s">
        <v>48</v>
      </c>
      <c r="P487" s="138">
        <f>O487*H487</f>
        <v>0</v>
      </c>
      <c r="Q487" s="138">
        <v>0</v>
      </c>
      <c r="R487" s="138">
        <f>Q487*H487</f>
        <v>0</v>
      </c>
      <c r="S487" s="138">
        <v>0.0053</v>
      </c>
      <c r="T487" s="139">
        <f>S487*H487</f>
        <v>0.221328</v>
      </c>
      <c r="AR487" s="140" t="s">
        <v>237</v>
      </c>
      <c r="AT487" s="140" t="s">
        <v>180</v>
      </c>
      <c r="AU487" s="140" t="s">
        <v>87</v>
      </c>
      <c r="AY487" s="18" t="s">
        <v>177</v>
      </c>
      <c r="BE487" s="141">
        <f>IF(N487="základní",J487,0)</f>
        <v>0</v>
      </c>
      <c r="BF487" s="141">
        <f>IF(N487="snížená",J487,0)</f>
        <v>0</v>
      </c>
      <c r="BG487" s="141">
        <f>IF(N487="zákl. přenesená",J487,0)</f>
        <v>0</v>
      </c>
      <c r="BH487" s="141">
        <f>IF(N487="sníž. přenesená",J487,0)</f>
        <v>0</v>
      </c>
      <c r="BI487" s="141">
        <f>IF(N487="nulová",J487,0)</f>
        <v>0</v>
      </c>
      <c r="BJ487" s="18" t="s">
        <v>85</v>
      </c>
      <c r="BK487" s="141">
        <f>ROUND(I487*H487,2)</f>
        <v>0</v>
      </c>
      <c r="BL487" s="18" t="s">
        <v>237</v>
      </c>
      <c r="BM487" s="140" t="s">
        <v>1269</v>
      </c>
    </row>
    <row r="488" spans="2:47" s="1" customFormat="1" ht="29.25">
      <c r="B488" s="33"/>
      <c r="D488" s="142" t="s">
        <v>187</v>
      </c>
      <c r="F488" s="143" t="s">
        <v>1270</v>
      </c>
      <c r="I488" s="144"/>
      <c r="L488" s="33"/>
      <c r="M488" s="145"/>
      <c r="T488" s="54"/>
      <c r="AT488" s="18" t="s">
        <v>187</v>
      </c>
      <c r="AU488" s="18" t="s">
        <v>87</v>
      </c>
    </row>
    <row r="489" spans="2:47" s="1" customFormat="1" ht="11.25">
      <c r="B489" s="33"/>
      <c r="D489" s="146" t="s">
        <v>189</v>
      </c>
      <c r="F489" s="147" t="s">
        <v>1271</v>
      </c>
      <c r="I489" s="144"/>
      <c r="L489" s="33"/>
      <c r="M489" s="145"/>
      <c r="T489" s="54"/>
      <c r="AT489" s="18" t="s">
        <v>189</v>
      </c>
      <c r="AU489" s="18" t="s">
        <v>87</v>
      </c>
    </row>
    <row r="490" spans="2:47" s="1" customFormat="1" ht="87.75">
      <c r="B490" s="33"/>
      <c r="D490" s="142" t="s">
        <v>191</v>
      </c>
      <c r="F490" s="148" t="s">
        <v>1265</v>
      </c>
      <c r="I490" s="144"/>
      <c r="L490" s="33"/>
      <c r="M490" s="145"/>
      <c r="T490" s="54"/>
      <c r="AT490" s="18" t="s">
        <v>191</v>
      </c>
      <c r="AU490" s="18" t="s">
        <v>87</v>
      </c>
    </row>
    <row r="491" spans="2:51" s="13" customFormat="1" ht="11.25">
      <c r="B491" s="156"/>
      <c r="D491" s="142" t="s">
        <v>193</v>
      </c>
      <c r="E491" s="157" t="s">
        <v>3</v>
      </c>
      <c r="F491" s="158" t="s">
        <v>1006</v>
      </c>
      <c r="H491" s="157" t="s">
        <v>3</v>
      </c>
      <c r="I491" s="159"/>
      <c r="L491" s="156"/>
      <c r="M491" s="160"/>
      <c r="T491" s="161"/>
      <c r="AT491" s="157" t="s">
        <v>193</v>
      </c>
      <c r="AU491" s="157" t="s">
        <v>87</v>
      </c>
      <c r="AV491" s="13" t="s">
        <v>85</v>
      </c>
      <c r="AW491" s="13" t="s">
        <v>36</v>
      </c>
      <c r="AX491" s="13" t="s">
        <v>77</v>
      </c>
      <c r="AY491" s="157" t="s">
        <v>177</v>
      </c>
    </row>
    <row r="492" spans="2:51" s="12" customFormat="1" ht="11.25">
      <c r="B492" s="149"/>
      <c r="D492" s="142" t="s">
        <v>193</v>
      </c>
      <c r="E492" s="150" t="s">
        <v>3</v>
      </c>
      <c r="F492" s="151" t="s">
        <v>1034</v>
      </c>
      <c r="H492" s="152">
        <v>41.76</v>
      </c>
      <c r="I492" s="153"/>
      <c r="L492" s="149"/>
      <c r="M492" s="154"/>
      <c r="T492" s="155"/>
      <c r="AT492" s="150" t="s">
        <v>193</v>
      </c>
      <c r="AU492" s="150" t="s">
        <v>87</v>
      </c>
      <c r="AV492" s="12" t="s">
        <v>87</v>
      </c>
      <c r="AW492" s="12" t="s">
        <v>36</v>
      </c>
      <c r="AX492" s="12" t="s">
        <v>85</v>
      </c>
      <c r="AY492" s="150" t="s">
        <v>177</v>
      </c>
    </row>
    <row r="493" spans="2:63" s="11" customFormat="1" ht="22.9" customHeight="1">
      <c r="B493" s="116"/>
      <c r="D493" s="117" t="s">
        <v>76</v>
      </c>
      <c r="E493" s="126" t="s">
        <v>1272</v>
      </c>
      <c r="F493" s="126" t="s">
        <v>1273</v>
      </c>
      <c r="I493" s="119"/>
      <c r="J493" s="127">
        <f>BK493</f>
        <v>0</v>
      </c>
      <c r="L493" s="116"/>
      <c r="M493" s="121"/>
      <c r="P493" s="122">
        <f>SUM(P494:P506)</f>
        <v>0</v>
      </c>
      <c r="R493" s="122">
        <f>SUM(R494:R506)</f>
        <v>0</v>
      </c>
      <c r="T493" s="123">
        <f>SUM(T494:T506)</f>
        <v>15.813765</v>
      </c>
      <c r="AR493" s="117" t="s">
        <v>87</v>
      </c>
      <c r="AT493" s="124" t="s">
        <v>76</v>
      </c>
      <c r="AU493" s="124" t="s">
        <v>85</v>
      </c>
      <c r="AY493" s="117" t="s">
        <v>177</v>
      </c>
      <c r="BK493" s="125">
        <f>SUM(BK494:BK506)</f>
        <v>0</v>
      </c>
    </row>
    <row r="494" spans="2:65" s="1" customFormat="1" ht="24.2" customHeight="1">
      <c r="B494" s="128"/>
      <c r="C494" s="129" t="s">
        <v>1274</v>
      </c>
      <c r="D494" s="129" t="s">
        <v>180</v>
      </c>
      <c r="E494" s="130" t="s">
        <v>1275</v>
      </c>
      <c r="F494" s="131" t="s">
        <v>1276</v>
      </c>
      <c r="G494" s="132" t="s">
        <v>476</v>
      </c>
      <c r="H494" s="133">
        <v>231.382</v>
      </c>
      <c r="I494" s="134"/>
      <c r="J494" s="135">
        <f>ROUND(I494*H494,2)</f>
        <v>0</v>
      </c>
      <c r="K494" s="131" t="s">
        <v>184</v>
      </c>
      <c r="L494" s="33"/>
      <c r="M494" s="136" t="s">
        <v>3</v>
      </c>
      <c r="N494" s="137" t="s">
        <v>48</v>
      </c>
      <c r="P494" s="138">
        <f>O494*H494</f>
        <v>0</v>
      </c>
      <c r="Q494" s="138">
        <v>0</v>
      </c>
      <c r="R494" s="138">
        <f>Q494*H494</f>
        <v>0</v>
      </c>
      <c r="S494" s="138">
        <v>0.024</v>
      </c>
      <c r="T494" s="139">
        <f>S494*H494</f>
        <v>5.553168</v>
      </c>
      <c r="AR494" s="140" t="s">
        <v>237</v>
      </c>
      <c r="AT494" s="140" t="s">
        <v>180</v>
      </c>
      <c r="AU494" s="140" t="s">
        <v>87</v>
      </c>
      <c r="AY494" s="18" t="s">
        <v>177</v>
      </c>
      <c r="BE494" s="141">
        <f>IF(N494="základní",J494,0)</f>
        <v>0</v>
      </c>
      <c r="BF494" s="141">
        <f>IF(N494="snížená",J494,0)</f>
        <v>0</v>
      </c>
      <c r="BG494" s="141">
        <f>IF(N494="zákl. přenesená",J494,0)</f>
        <v>0</v>
      </c>
      <c r="BH494" s="141">
        <f>IF(N494="sníž. přenesená",J494,0)</f>
        <v>0</v>
      </c>
      <c r="BI494" s="141">
        <f>IF(N494="nulová",J494,0)</f>
        <v>0</v>
      </c>
      <c r="BJ494" s="18" t="s">
        <v>85</v>
      </c>
      <c r="BK494" s="141">
        <f>ROUND(I494*H494,2)</f>
        <v>0</v>
      </c>
      <c r="BL494" s="18" t="s">
        <v>237</v>
      </c>
      <c r="BM494" s="140" t="s">
        <v>1277</v>
      </c>
    </row>
    <row r="495" spans="2:47" s="1" customFormat="1" ht="19.5">
      <c r="B495" s="33"/>
      <c r="D495" s="142" t="s">
        <v>187</v>
      </c>
      <c r="F495" s="143" t="s">
        <v>1278</v>
      </c>
      <c r="I495" s="144"/>
      <c r="L495" s="33"/>
      <c r="M495" s="145"/>
      <c r="T495" s="54"/>
      <c r="AT495" s="18" t="s">
        <v>187</v>
      </c>
      <c r="AU495" s="18" t="s">
        <v>87</v>
      </c>
    </row>
    <row r="496" spans="2:47" s="1" customFormat="1" ht="11.25">
      <c r="B496" s="33"/>
      <c r="D496" s="146" t="s">
        <v>189</v>
      </c>
      <c r="F496" s="147" t="s">
        <v>1279</v>
      </c>
      <c r="I496" s="144"/>
      <c r="L496" s="33"/>
      <c r="M496" s="145"/>
      <c r="T496" s="54"/>
      <c r="AT496" s="18" t="s">
        <v>189</v>
      </c>
      <c r="AU496" s="18" t="s">
        <v>87</v>
      </c>
    </row>
    <row r="497" spans="2:51" s="13" customFormat="1" ht="11.25">
      <c r="B497" s="156"/>
      <c r="D497" s="142" t="s">
        <v>193</v>
      </c>
      <c r="E497" s="157" t="s">
        <v>3</v>
      </c>
      <c r="F497" s="158" t="s">
        <v>1280</v>
      </c>
      <c r="H497" s="157" t="s">
        <v>3</v>
      </c>
      <c r="I497" s="159"/>
      <c r="L497" s="156"/>
      <c r="M497" s="160"/>
      <c r="T497" s="161"/>
      <c r="AT497" s="157" t="s">
        <v>193</v>
      </c>
      <c r="AU497" s="157" t="s">
        <v>87</v>
      </c>
      <c r="AV497" s="13" t="s">
        <v>85</v>
      </c>
      <c r="AW497" s="13" t="s">
        <v>36</v>
      </c>
      <c r="AX497" s="13" t="s">
        <v>77</v>
      </c>
      <c r="AY497" s="157" t="s">
        <v>177</v>
      </c>
    </row>
    <row r="498" spans="2:51" s="12" customFormat="1" ht="11.25">
      <c r="B498" s="149"/>
      <c r="D498" s="142" t="s">
        <v>193</v>
      </c>
      <c r="E498" s="150" t="s">
        <v>3</v>
      </c>
      <c r="F498" s="151" t="s">
        <v>1281</v>
      </c>
      <c r="H498" s="152">
        <v>231.382</v>
      </c>
      <c r="I498" s="153"/>
      <c r="L498" s="149"/>
      <c r="M498" s="154"/>
      <c r="T498" s="155"/>
      <c r="AT498" s="150" t="s">
        <v>193</v>
      </c>
      <c r="AU498" s="150" t="s">
        <v>87</v>
      </c>
      <c r="AV498" s="12" t="s">
        <v>87</v>
      </c>
      <c r="AW498" s="12" t="s">
        <v>36</v>
      </c>
      <c r="AX498" s="12" t="s">
        <v>85</v>
      </c>
      <c r="AY498" s="150" t="s">
        <v>177</v>
      </c>
    </row>
    <row r="499" spans="2:65" s="1" customFormat="1" ht="16.5" customHeight="1">
      <c r="B499" s="128"/>
      <c r="C499" s="129" t="s">
        <v>1282</v>
      </c>
      <c r="D499" s="129" t="s">
        <v>180</v>
      </c>
      <c r="E499" s="130" t="s">
        <v>1283</v>
      </c>
      <c r="F499" s="131" t="s">
        <v>1284</v>
      </c>
      <c r="G499" s="132" t="s">
        <v>332</v>
      </c>
      <c r="H499" s="133">
        <v>330.987</v>
      </c>
      <c r="I499" s="134"/>
      <c r="J499" s="135">
        <f>ROUND(I499*H499,2)</f>
        <v>0</v>
      </c>
      <c r="K499" s="131" t="s">
        <v>184</v>
      </c>
      <c r="L499" s="33"/>
      <c r="M499" s="136" t="s">
        <v>3</v>
      </c>
      <c r="N499" s="137" t="s">
        <v>48</v>
      </c>
      <c r="P499" s="138">
        <f>O499*H499</f>
        <v>0</v>
      </c>
      <c r="Q499" s="138">
        <v>0</v>
      </c>
      <c r="R499" s="138">
        <f>Q499*H499</f>
        <v>0</v>
      </c>
      <c r="S499" s="138">
        <v>0.031</v>
      </c>
      <c r="T499" s="139">
        <f>S499*H499</f>
        <v>10.260597</v>
      </c>
      <c r="AR499" s="140" t="s">
        <v>237</v>
      </c>
      <c r="AT499" s="140" t="s">
        <v>180</v>
      </c>
      <c r="AU499" s="140" t="s">
        <v>87</v>
      </c>
      <c r="AY499" s="18" t="s">
        <v>177</v>
      </c>
      <c r="BE499" s="141">
        <f>IF(N499="základní",J499,0)</f>
        <v>0</v>
      </c>
      <c r="BF499" s="141">
        <f>IF(N499="snížená",J499,0)</f>
        <v>0</v>
      </c>
      <c r="BG499" s="141">
        <f>IF(N499="zákl. přenesená",J499,0)</f>
        <v>0</v>
      </c>
      <c r="BH499" s="141">
        <f>IF(N499="sníž. přenesená",J499,0)</f>
        <v>0</v>
      </c>
      <c r="BI499" s="141">
        <f>IF(N499="nulová",J499,0)</f>
        <v>0</v>
      </c>
      <c r="BJ499" s="18" t="s">
        <v>85</v>
      </c>
      <c r="BK499" s="141">
        <f>ROUND(I499*H499,2)</f>
        <v>0</v>
      </c>
      <c r="BL499" s="18" t="s">
        <v>237</v>
      </c>
      <c r="BM499" s="140" t="s">
        <v>1285</v>
      </c>
    </row>
    <row r="500" spans="2:47" s="1" customFormat="1" ht="29.25">
      <c r="B500" s="33"/>
      <c r="D500" s="142" t="s">
        <v>187</v>
      </c>
      <c r="F500" s="143" t="s">
        <v>1286</v>
      </c>
      <c r="I500" s="144"/>
      <c r="L500" s="33"/>
      <c r="M500" s="145"/>
      <c r="T500" s="54"/>
      <c r="AT500" s="18" t="s">
        <v>187</v>
      </c>
      <c r="AU500" s="18" t="s">
        <v>87</v>
      </c>
    </row>
    <row r="501" spans="2:47" s="1" customFormat="1" ht="11.25">
      <c r="B501" s="33"/>
      <c r="D501" s="146" t="s">
        <v>189</v>
      </c>
      <c r="F501" s="147" t="s">
        <v>1287</v>
      </c>
      <c r="I501" s="144"/>
      <c r="L501" s="33"/>
      <c r="M501" s="145"/>
      <c r="T501" s="54"/>
      <c r="AT501" s="18" t="s">
        <v>189</v>
      </c>
      <c r="AU501" s="18" t="s">
        <v>87</v>
      </c>
    </row>
    <row r="502" spans="2:51" s="13" customFormat="1" ht="11.25">
      <c r="B502" s="156"/>
      <c r="D502" s="142" t="s">
        <v>193</v>
      </c>
      <c r="E502" s="157" t="s">
        <v>3</v>
      </c>
      <c r="F502" s="158" t="s">
        <v>1006</v>
      </c>
      <c r="H502" s="157" t="s">
        <v>3</v>
      </c>
      <c r="I502" s="159"/>
      <c r="L502" s="156"/>
      <c r="M502" s="160"/>
      <c r="T502" s="161"/>
      <c r="AT502" s="157" t="s">
        <v>193</v>
      </c>
      <c r="AU502" s="157" t="s">
        <v>87</v>
      </c>
      <c r="AV502" s="13" t="s">
        <v>85</v>
      </c>
      <c r="AW502" s="13" t="s">
        <v>36</v>
      </c>
      <c r="AX502" s="13" t="s">
        <v>77</v>
      </c>
      <c r="AY502" s="157" t="s">
        <v>177</v>
      </c>
    </row>
    <row r="503" spans="2:51" s="12" customFormat="1" ht="11.25">
      <c r="B503" s="149"/>
      <c r="D503" s="142" t="s">
        <v>193</v>
      </c>
      <c r="E503" s="150" t="s">
        <v>3</v>
      </c>
      <c r="F503" s="151" t="s">
        <v>1034</v>
      </c>
      <c r="H503" s="152">
        <v>41.76</v>
      </c>
      <c r="I503" s="153"/>
      <c r="L503" s="149"/>
      <c r="M503" s="154"/>
      <c r="T503" s="155"/>
      <c r="AT503" s="150" t="s">
        <v>193</v>
      </c>
      <c r="AU503" s="150" t="s">
        <v>87</v>
      </c>
      <c r="AV503" s="12" t="s">
        <v>87</v>
      </c>
      <c r="AW503" s="12" t="s">
        <v>36</v>
      </c>
      <c r="AX503" s="12" t="s">
        <v>77</v>
      </c>
      <c r="AY503" s="150" t="s">
        <v>177</v>
      </c>
    </row>
    <row r="504" spans="2:51" s="13" customFormat="1" ht="11.25">
      <c r="B504" s="156"/>
      <c r="D504" s="142" t="s">
        <v>193</v>
      </c>
      <c r="E504" s="157" t="s">
        <v>3</v>
      </c>
      <c r="F504" s="158" t="s">
        <v>1244</v>
      </c>
      <c r="H504" s="157" t="s">
        <v>3</v>
      </c>
      <c r="I504" s="159"/>
      <c r="L504" s="156"/>
      <c r="M504" s="160"/>
      <c r="T504" s="161"/>
      <c r="AT504" s="157" t="s">
        <v>193</v>
      </c>
      <c r="AU504" s="157" t="s">
        <v>87</v>
      </c>
      <c r="AV504" s="13" t="s">
        <v>85</v>
      </c>
      <c r="AW504" s="13" t="s">
        <v>36</v>
      </c>
      <c r="AX504" s="13" t="s">
        <v>77</v>
      </c>
      <c r="AY504" s="157" t="s">
        <v>177</v>
      </c>
    </row>
    <row r="505" spans="2:51" s="12" customFormat="1" ht="11.25">
      <c r="B505" s="149"/>
      <c r="D505" s="142" t="s">
        <v>193</v>
      </c>
      <c r="E505" s="150" t="s">
        <v>3</v>
      </c>
      <c r="F505" s="151" t="s">
        <v>1245</v>
      </c>
      <c r="H505" s="152">
        <v>289.227</v>
      </c>
      <c r="I505" s="153"/>
      <c r="L505" s="149"/>
      <c r="M505" s="154"/>
      <c r="T505" s="155"/>
      <c r="AT505" s="150" t="s">
        <v>193</v>
      </c>
      <c r="AU505" s="150" t="s">
        <v>87</v>
      </c>
      <c r="AV505" s="12" t="s">
        <v>87</v>
      </c>
      <c r="AW505" s="12" t="s">
        <v>36</v>
      </c>
      <c r="AX505" s="12" t="s">
        <v>77</v>
      </c>
      <c r="AY505" s="150" t="s">
        <v>177</v>
      </c>
    </row>
    <row r="506" spans="2:51" s="15" customFormat="1" ht="11.25">
      <c r="B506" s="169"/>
      <c r="D506" s="142" t="s">
        <v>193</v>
      </c>
      <c r="E506" s="170" t="s">
        <v>3</v>
      </c>
      <c r="F506" s="171" t="s">
        <v>201</v>
      </c>
      <c r="H506" s="172">
        <v>330.987</v>
      </c>
      <c r="I506" s="173"/>
      <c r="L506" s="169"/>
      <c r="M506" s="174"/>
      <c r="T506" s="175"/>
      <c r="AT506" s="170" t="s">
        <v>193</v>
      </c>
      <c r="AU506" s="170" t="s">
        <v>87</v>
      </c>
      <c r="AV506" s="15" t="s">
        <v>185</v>
      </c>
      <c r="AW506" s="15" t="s">
        <v>36</v>
      </c>
      <c r="AX506" s="15" t="s">
        <v>85</v>
      </c>
      <c r="AY506" s="170" t="s">
        <v>177</v>
      </c>
    </row>
    <row r="507" spans="2:63" s="11" customFormat="1" ht="22.9" customHeight="1">
      <c r="B507" s="116"/>
      <c r="D507" s="117" t="s">
        <v>76</v>
      </c>
      <c r="E507" s="126" t="s">
        <v>1288</v>
      </c>
      <c r="F507" s="126" t="s">
        <v>1289</v>
      </c>
      <c r="I507" s="119"/>
      <c r="J507" s="127">
        <f>BK507</f>
        <v>0</v>
      </c>
      <c r="L507" s="116"/>
      <c r="M507" s="121"/>
      <c r="P507" s="122">
        <f>SUM(P508:P530)</f>
        <v>0</v>
      </c>
      <c r="R507" s="122">
        <f>SUM(R508:R530)</f>
        <v>0</v>
      </c>
      <c r="T507" s="123">
        <f>SUM(T508:T530)</f>
        <v>0.37768411999999996</v>
      </c>
      <c r="AR507" s="117" t="s">
        <v>87</v>
      </c>
      <c r="AT507" s="124" t="s">
        <v>76</v>
      </c>
      <c r="AU507" s="124" t="s">
        <v>85</v>
      </c>
      <c r="AY507" s="117" t="s">
        <v>177</v>
      </c>
      <c r="BK507" s="125">
        <f>SUM(BK508:BK530)</f>
        <v>0</v>
      </c>
    </row>
    <row r="508" spans="2:65" s="1" customFormat="1" ht="16.5" customHeight="1">
      <c r="B508" s="128"/>
      <c r="C508" s="129" t="s">
        <v>1290</v>
      </c>
      <c r="D508" s="129" t="s">
        <v>180</v>
      </c>
      <c r="E508" s="130" t="s">
        <v>1291</v>
      </c>
      <c r="F508" s="131" t="s">
        <v>1292</v>
      </c>
      <c r="G508" s="132" t="s">
        <v>236</v>
      </c>
      <c r="H508" s="133">
        <v>1</v>
      </c>
      <c r="I508" s="134"/>
      <c r="J508" s="135">
        <f>ROUND(I508*H508,2)</f>
        <v>0</v>
      </c>
      <c r="K508" s="131" t="s">
        <v>184</v>
      </c>
      <c r="L508" s="33"/>
      <c r="M508" s="136" t="s">
        <v>3</v>
      </c>
      <c r="N508" s="137" t="s">
        <v>48</v>
      </c>
      <c r="P508" s="138">
        <f>O508*H508</f>
        <v>0</v>
      </c>
      <c r="Q508" s="138">
        <v>0</v>
      </c>
      <c r="R508" s="138">
        <f>Q508*H508</f>
        <v>0</v>
      </c>
      <c r="S508" s="138">
        <v>0.00906</v>
      </c>
      <c r="T508" s="139">
        <f>S508*H508</f>
        <v>0.00906</v>
      </c>
      <c r="AR508" s="140" t="s">
        <v>237</v>
      </c>
      <c r="AT508" s="140" t="s">
        <v>180</v>
      </c>
      <c r="AU508" s="140" t="s">
        <v>87</v>
      </c>
      <c r="AY508" s="18" t="s">
        <v>177</v>
      </c>
      <c r="BE508" s="141">
        <f>IF(N508="základní",J508,0)</f>
        <v>0</v>
      </c>
      <c r="BF508" s="141">
        <f>IF(N508="snížená",J508,0)</f>
        <v>0</v>
      </c>
      <c r="BG508" s="141">
        <f>IF(N508="zákl. přenesená",J508,0)</f>
        <v>0</v>
      </c>
      <c r="BH508" s="141">
        <f>IF(N508="sníž. přenesená",J508,0)</f>
        <v>0</v>
      </c>
      <c r="BI508" s="141">
        <f>IF(N508="nulová",J508,0)</f>
        <v>0</v>
      </c>
      <c r="BJ508" s="18" t="s">
        <v>85</v>
      </c>
      <c r="BK508" s="141">
        <f>ROUND(I508*H508,2)</f>
        <v>0</v>
      </c>
      <c r="BL508" s="18" t="s">
        <v>237</v>
      </c>
      <c r="BM508" s="140" t="s">
        <v>1293</v>
      </c>
    </row>
    <row r="509" spans="2:47" s="1" customFormat="1" ht="11.25">
      <c r="B509" s="33"/>
      <c r="D509" s="142" t="s">
        <v>187</v>
      </c>
      <c r="F509" s="143" t="s">
        <v>1294</v>
      </c>
      <c r="I509" s="144"/>
      <c r="L509" s="33"/>
      <c r="M509" s="145"/>
      <c r="T509" s="54"/>
      <c r="AT509" s="18" t="s">
        <v>187</v>
      </c>
      <c r="AU509" s="18" t="s">
        <v>87</v>
      </c>
    </row>
    <row r="510" spans="2:47" s="1" customFormat="1" ht="11.25">
      <c r="B510" s="33"/>
      <c r="D510" s="146" t="s">
        <v>189</v>
      </c>
      <c r="F510" s="147" t="s">
        <v>1295</v>
      </c>
      <c r="I510" s="144"/>
      <c r="L510" s="33"/>
      <c r="M510" s="145"/>
      <c r="T510" s="54"/>
      <c r="AT510" s="18" t="s">
        <v>189</v>
      </c>
      <c r="AU510" s="18" t="s">
        <v>87</v>
      </c>
    </row>
    <row r="511" spans="2:65" s="1" customFormat="1" ht="24.2" customHeight="1">
      <c r="B511" s="128"/>
      <c r="C511" s="129" t="s">
        <v>1296</v>
      </c>
      <c r="D511" s="129" t="s">
        <v>180</v>
      </c>
      <c r="E511" s="130" t="s">
        <v>1297</v>
      </c>
      <c r="F511" s="131" t="s">
        <v>1298</v>
      </c>
      <c r="G511" s="132" t="s">
        <v>476</v>
      </c>
      <c r="H511" s="133">
        <v>86.42</v>
      </c>
      <c r="I511" s="134"/>
      <c r="J511" s="135">
        <f>ROUND(I511*H511,2)</f>
        <v>0</v>
      </c>
      <c r="K511" s="131" t="s">
        <v>184</v>
      </c>
      <c r="L511" s="33"/>
      <c r="M511" s="136" t="s">
        <v>3</v>
      </c>
      <c r="N511" s="137" t="s">
        <v>48</v>
      </c>
      <c r="P511" s="138">
        <f>O511*H511</f>
        <v>0</v>
      </c>
      <c r="Q511" s="138">
        <v>0</v>
      </c>
      <c r="R511" s="138">
        <f>Q511*H511</f>
        <v>0</v>
      </c>
      <c r="S511" s="138">
        <v>0.00191</v>
      </c>
      <c r="T511" s="139">
        <f>S511*H511</f>
        <v>0.1650622</v>
      </c>
      <c r="AR511" s="140" t="s">
        <v>237</v>
      </c>
      <c r="AT511" s="140" t="s">
        <v>180</v>
      </c>
      <c r="AU511" s="140" t="s">
        <v>87</v>
      </c>
      <c r="AY511" s="18" t="s">
        <v>177</v>
      </c>
      <c r="BE511" s="141">
        <f>IF(N511="základní",J511,0)</f>
        <v>0</v>
      </c>
      <c r="BF511" s="141">
        <f>IF(N511="snížená",J511,0)</f>
        <v>0</v>
      </c>
      <c r="BG511" s="141">
        <f>IF(N511="zákl. přenesená",J511,0)</f>
        <v>0</v>
      </c>
      <c r="BH511" s="141">
        <f>IF(N511="sníž. přenesená",J511,0)</f>
        <v>0</v>
      </c>
      <c r="BI511" s="141">
        <f>IF(N511="nulová",J511,0)</f>
        <v>0</v>
      </c>
      <c r="BJ511" s="18" t="s">
        <v>85</v>
      </c>
      <c r="BK511" s="141">
        <f>ROUND(I511*H511,2)</f>
        <v>0</v>
      </c>
      <c r="BL511" s="18" t="s">
        <v>237</v>
      </c>
      <c r="BM511" s="140" t="s">
        <v>1299</v>
      </c>
    </row>
    <row r="512" spans="2:47" s="1" customFormat="1" ht="19.5">
      <c r="B512" s="33"/>
      <c r="D512" s="142" t="s">
        <v>187</v>
      </c>
      <c r="F512" s="143" t="s">
        <v>1300</v>
      </c>
      <c r="I512" s="144"/>
      <c r="L512" s="33"/>
      <c r="M512" s="145"/>
      <c r="T512" s="54"/>
      <c r="AT512" s="18" t="s">
        <v>187</v>
      </c>
      <c r="AU512" s="18" t="s">
        <v>87</v>
      </c>
    </row>
    <row r="513" spans="2:47" s="1" customFormat="1" ht="11.25">
      <c r="B513" s="33"/>
      <c r="D513" s="146" t="s">
        <v>189</v>
      </c>
      <c r="F513" s="147" t="s">
        <v>1301</v>
      </c>
      <c r="I513" s="144"/>
      <c r="L513" s="33"/>
      <c r="M513" s="145"/>
      <c r="T513" s="54"/>
      <c r="AT513" s="18" t="s">
        <v>189</v>
      </c>
      <c r="AU513" s="18" t="s">
        <v>87</v>
      </c>
    </row>
    <row r="514" spans="2:51" s="12" customFormat="1" ht="11.25">
      <c r="B514" s="149"/>
      <c r="D514" s="142" t="s">
        <v>193</v>
      </c>
      <c r="E514" s="150" t="s">
        <v>3</v>
      </c>
      <c r="F514" s="151" t="s">
        <v>1302</v>
      </c>
      <c r="H514" s="152">
        <v>66.4</v>
      </c>
      <c r="I514" s="153"/>
      <c r="L514" s="149"/>
      <c r="M514" s="154"/>
      <c r="T514" s="155"/>
      <c r="AT514" s="150" t="s">
        <v>193</v>
      </c>
      <c r="AU514" s="150" t="s">
        <v>87</v>
      </c>
      <c r="AV514" s="12" t="s">
        <v>87</v>
      </c>
      <c r="AW514" s="12" t="s">
        <v>36</v>
      </c>
      <c r="AX514" s="12" t="s">
        <v>77</v>
      </c>
      <c r="AY514" s="150" t="s">
        <v>177</v>
      </c>
    </row>
    <row r="515" spans="2:51" s="12" customFormat="1" ht="11.25">
      <c r="B515" s="149"/>
      <c r="D515" s="142" t="s">
        <v>193</v>
      </c>
      <c r="E515" s="150" t="s">
        <v>3</v>
      </c>
      <c r="F515" s="151" t="s">
        <v>1303</v>
      </c>
      <c r="H515" s="152">
        <v>20.02</v>
      </c>
      <c r="I515" s="153"/>
      <c r="L515" s="149"/>
      <c r="M515" s="154"/>
      <c r="T515" s="155"/>
      <c r="AT515" s="150" t="s">
        <v>193</v>
      </c>
      <c r="AU515" s="150" t="s">
        <v>87</v>
      </c>
      <c r="AV515" s="12" t="s">
        <v>87</v>
      </c>
      <c r="AW515" s="12" t="s">
        <v>36</v>
      </c>
      <c r="AX515" s="12" t="s">
        <v>77</v>
      </c>
      <c r="AY515" s="150" t="s">
        <v>177</v>
      </c>
    </row>
    <row r="516" spans="2:51" s="15" customFormat="1" ht="11.25">
      <c r="B516" s="169"/>
      <c r="D516" s="142" t="s">
        <v>193</v>
      </c>
      <c r="E516" s="170" t="s">
        <v>3</v>
      </c>
      <c r="F516" s="171" t="s">
        <v>201</v>
      </c>
      <c r="H516" s="172">
        <v>86.42</v>
      </c>
      <c r="I516" s="173"/>
      <c r="L516" s="169"/>
      <c r="M516" s="174"/>
      <c r="T516" s="175"/>
      <c r="AT516" s="170" t="s">
        <v>193</v>
      </c>
      <c r="AU516" s="170" t="s">
        <v>87</v>
      </c>
      <c r="AV516" s="15" t="s">
        <v>185</v>
      </c>
      <c r="AW516" s="15" t="s">
        <v>36</v>
      </c>
      <c r="AX516" s="15" t="s">
        <v>85</v>
      </c>
      <c r="AY516" s="170" t="s">
        <v>177</v>
      </c>
    </row>
    <row r="517" spans="2:65" s="1" customFormat="1" ht="16.5" customHeight="1">
      <c r="B517" s="128"/>
      <c r="C517" s="129" t="s">
        <v>1304</v>
      </c>
      <c r="D517" s="129" t="s">
        <v>180</v>
      </c>
      <c r="E517" s="130" t="s">
        <v>1305</v>
      </c>
      <c r="F517" s="131" t="s">
        <v>1306</v>
      </c>
      <c r="G517" s="132" t="s">
        <v>476</v>
      </c>
      <c r="H517" s="133">
        <v>31.8</v>
      </c>
      <c r="I517" s="134"/>
      <c r="J517" s="135">
        <f>ROUND(I517*H517,2)</f>
        <v>0</v>
      </c>
      <c r="K517" s="131" t="s">
        <v>184</v>
      </c>
      <c r="L517" s="33"/>
      <c r="M517" s="136" t="s">
        <v>3</v>
      </c>
      <c r="N517" s="137" t="s">
        <v>48</v>
      </c>
      <c r="P517" s="138">
        <f>O517*H517</f>
        <v>0</v>
      </c>
      <c r="Q517" s="138">
        <v>0</v>
      </c>
      <c r="R517" s="138">
        <f>Q517*H517</f>
        <v>0</v>
      </c>
      <c r="S517" s="138">
        <v>0.00167</v>
      </c>
      <c r="T517" s="139">
        <f>S517*H517</f>
        <v>0.053106</v>
      </c>
      <c r="AR517" s="140" t="s">
        <v>237</v>
      </c>
      <c r="AT517" s="140" t="s">
        <v>180</v>
      </c>
      <c r="AU517" s="140" t="s">
        <v>87</v>
      </c>
      <c r="AY517" s="18" t="s">
        <v>177</v>
      </c>
      <c r="BE517" s="141">
        <f>IF(N517="základní",J517,0)</f>
        <v>0</v>
      </c>
      <c r="BF517" s="141">
        <f>IF(N517="snížená",J517,0)</f>
        <v>0</v>
      </c>
      <c r="BG517" s="141">
        <f>IF(N517="zákl. přenesená",J517,0)</f>
        <v>0</v>
      </c>
      <c r="BH517" s="141">
        <f>IF(N517="sníž. přenesená",J517,0)</f>
        <v>0</v>
      </c>
      <c r="BI517" s="141">
        <f>IF(N517="nulová",J517,0)</f>
        <v>0</v>
      </c>
      <c r="BJ517" s="18" t="s">
        <v>85</v>
      </c>
      <c r="BK517" s="141">
        <f>ROUND(I517*H517,2)</f>
        <v>0</v>
      </c>
      <c r="BL517" s="18" t="s">
        <v>237</v>
      </c>
      <c r="BM517" s="140" t="s">
        <v>1307</v>
      </c>
    </row>
    <row r="518" spans="2:47" s="1" customFormat="1" ht="11.25">
      <c r="B518" s="33"/>
      <c r="D518" s="142" t="s">
        <v>187</v>
      </c>
      <c r="F518" s="143" t="s">
        <v>1308</v>
      </c>
      <c r="I518" s="144"/>
      <c r="L518" s="33"/>
      <c r="M518" s="145"/>
      <c r="T518" s="54"/>
      <c r="AT518" s="18" t="s">
        <v>187</v>
      </c>
      <c r="AU518" s="18" t="s">
        <v>87</v>
      </c>
    </row>
    <row r="519" spans="2:47" s="1" customFormat="1" ht="11.25">
      <c r="B519" s="33"/>
      <c r="D519" s="146" t="s">
        <v>189</v>
      </c>
      <c r="F519" s="147" t="s">
        <v>1309</v>
      </c>
      <c r="I519" s="144"/>
      <c r="L519" s="33"/>
      <c r="M519" s="145"/>
      <c r="T519" s="54"/>
      <c r="AT519" s="18" t="s">
        <v>189</v>
      </c>
      <c r="AU519" s="18" t="s">
        <v>87</v>
      </c>
    </row>
    <row r="520" spans="2:51" s="12" customFormat="1" ht="11.25">
      <c r="B520" s="149"/>
      <c r="D520" s="142" t="s">
        <v>193</v>
      </c>
      <c r="E520" s="150" t="s">
        <v>3</v>
      </c>
      <c r="F520" s="151" t="s">
        <v>1310</v>
      </c>
      <c r="H520" s="152">
        <v>9.3</v>
      </c>
      <c r="I520" s="153"/>
      <c r="L520" s="149"/>
      <c r="M520" s="154"/>
      <c r="T520" s="155"/>
      <c r="AT520" s="150" t="s">
        <v>193</v>
      </c>
      <c r="AU520" s="150" t="s">
        <v>87</v>
      </c>
      <c r="AV520" s="12" t="s">
        <v>87</v>
      </c>
      <c r="AW520" s="12" t="s">
        <v>36</v>
      </c>
      <c r="AX520" s="12" t="s">
        <v>77</v>
      </c>
      <c r="AY520" s="150" t="s">
        <v>177</v>
      </c>
    </row>
    <row r="521" spans="2:51" s="12" customFormat="1" ht="11.25">
      <c r="B521" s="149"/>
      <c r="D521" s="142" t="s">
        <v>193</v>
      </c>
      <c r="E521" s="150" t="s">
        <v>3</v>
      </c>
      <c r="F521" s="151" t="s">
        <v>1311</v>
      </c>
      <c r="H521" s="152">
        <v>22.5</v>
      </c>
      <c r="I521" s="153"/>
      <c r="L521" s="149"/>
      <c r="M521" s="154"/>
      <c r="T521" s="155"/>
      <c r="AT521" s="150" t="s">
        <v>193</v>
      </c>
      <c r="AU521" s="150" t="s">
        <v>87</v>
      </c>
      <c r="AV521" s="12" t="s">
        <v>87</v>
      </c>
      <c r="AW521" s="12" t="s">
        <v>36</v>
      </c>
      <c r="AX521" s="12" t="s">
        <v>77</v>
      </c>
      <c r="AY521" s="150" t="s">
        <v>177</v>
      </c>
    </row>
    <row r="522" spans="2:51" s="15" customFormat="1" ht="11.25">
      <c r="B522" s="169"/>
      <c r="D522" s="142" t="s">
        <v>193</v>
      </c>
      <c r="E522" s="170" t="s">
        <v>3</v>
      </c>
      <c r="F522" s="171" t="s">
        <v>201</v>
      </c>
      <c r="H522" s="172">
        <v>31.8</v>
      </c>
      <c r="I522" s="173"/>
      <c r="L522" s="169"/>
      <c r="M522" s="174"/>
      <c r="T522" s="175"/>
      <c r="AT522" s="170" t="s">
        <v>193</v>
      </c>
      <c r="AU522" s="170" t="s">
        <v>87</v>
      </c>
      <c r="AV522" s="15" t="s">
        <v>185</v>
      </c>
      <c r="AW522" s="15" t="s">
        <v>36</v>
      </c>
      <c r="AX522" s="15" t="s">
        <v>85</v>
      </c>
      <c r="AY522" s="170" t="s">
        <v>177</v>
      </c>
    </row>
    <row r="523" spans="2:65" s="1" customFormat="1" ht="16.5" customHeight="1">
      <c r="B523" s="128"/>
      <c r="C523" s="129" t="s">
        <v>1312</v>
      </c>
      <c r="D523" s="129" t="s">
        <v>180</v>
      </c>
      <c r="E523" s="130" t="s">
        <v>1313</v>
      </c>
      <c r="F523" s="131" t="s">
        <v>1314</v>
      </c>
      <c r="G523" s="132" t="s">
        <v>332</v>
      </c>
      <c r="H523" s="133">
        <v>25.763</v>
      </c>
      <c r="I523" s="134"/>
      <c r="J523" s="135">
        <f>ROUND(I523*H523,2)</f>
        <v>0</v>
      </c>
      <c r="K523" s="131" t="s">
        <v>184</v>
      </c>
      <c r="L523" s="33"/>
      <c r="M523" s="136" t="s">
        <v>3</v>
      </c>
      <c r="N523" s="137" t="s">
        <v>48</v>
      </c>
      <c r="P523" s="138">
        <f>O523*H523</f>
        <v>0</v>
      </c>
      <c r="Q523" s="138">
        <v>0</v>
      </c>
      <c r="R523" s="138">
        <f>Q523*H523</f>
        <v>0</v>
      </c>
      <c r="S523" s="138">
        <v>0.00584</v>
      </c>
      <c r="T523" s="139">
        <f>S523*H523</f>
        <v>0.15045592</v>
      </c>
      <c r="AR523" s="140" t="s">
        <v>237</v>
      </c>
      <c r="AT523" s="140" t="s">
        <v>180</v>
      </c>
      <c r="AU523" s="140" t="s">
        <v>87</v>
      </c>
      <c r="AY523" s="18" t="s">
        <v>177</v>
      </c>
      <c r="BE523" s="141">
        <f>IF(N523="základní",J523,0)</f>
        <v>0</v>
      </c>
      <c r="BF523" s="141">
        <f>IF(N523="snížená",J523,0)</f>
        <v>0</v>
      </c>
      <c r="BG523" s="141">
        <f>IF(N523="zákl. přenesená",J523,0)</f>
        <v>0</v>
      </c>
      <c r="BH523" s="141">
        <f>IF(N523="sníž. přenesená",J523,0)</f>
        <v>0</v>
      </c>
      <c r="BI523" s="141">
        <f>IF(N523="nulová",J523,0)</f>
        <v>0</v>
      </c>
      <c r="BJ523" s="18" t="s">
        <v>85</v>
      </c>
      <c r="BK523" s="141">
        <f>ROUND(I523*H523,2)</f>
        <v>0</v>
      </c>
      <c r="BL523" s="18" t="s">
        <v>237</v>
      </c>
      <c r="BM523" s="140" t="s">
        <v>1315</v>
      </c>
    </row>
    <row r="524" spans="2:47" s="1" customFormat="1" ht="19.5">
      <c r="B524" s="33"/>
      <c r="D524" s="142" t="s">
        <v>187</v>
      </c>
      <c r="F524" s="143" t="s">
        <v>1316</v>
      </c>
      <c r="I524" s="144"/>
      <c r="L524" s="33"/>
      <c r="M524" s="145"/>
      <c r="T524" s="54"/>
      <c r="AT524" s="18" t="s">
        <v>187</v>
      </c>
      <c r="AU524" s="18" t="s">
        <v>87</v>
      </c>
    </row>
    <row r="525" spans="2:47" s="1" customFormat="1" ht="11.25">
      <c r="B525" s="33"/>
      <c r="D525" s="146" t="s">
        <v>189</v>
      </c>
      <c r="F525" s="147" t="s">
        <v>1317</v>
      </c>
      <c r="I525" s="144"/>
      <c r="L525" s="33"/>
      <c r="M525" s="145"/>
      <c r="T525" s="54"/>
      <c r="AT525" s="18" t="s">
        <v>189</v>
      </c>
      <c r="AU525" s="18" t="s">
        <v>87</v>
      </c>
    </row>
    <row r="526" spans="2:51" s="13" customFormat="1" ht="11.25">
      <c r="B526" s="156"/>
      <c r="D526" s="142" t="s">
        <v>193</v>
      </c>
      <c r="E526" s="157" t="s">
        <v>3</v>
      </c>
      <c r="F526" s="158" t="s">
        <v>1318</v>
      </c>
      <c r="H526" s="157" t="s">
        <v>3</v>
      </c>
      <c r="I526" s="159"/>
      <c r="L526" s="156"/>
      <c r="M526" s="160"/>
      <c r="T526" s="161"/>
      <c r="AT526" s="157" t="s">
        <v>193</v>
      </c>
      <c r="AU526" s="157" t="s">
        <v>87</v>
      </c>
      <c r="AV526" s="13" t="s">
        <v>85</v>
      </c>
      <c r="AW526" s="13" t="s">
        <v>36</v>
      </c>
      <c r="AX526" s="13" t="s">
        <v>77</v>
      </c>
      <c r="AY526" s="157" t="s">
        <v>177</v>
      </c>
    </row>
    <row r="527" spans="2:51" s="12" customFormat="1" ht="11.25">
      <c r="B527" s="149"/>
      <c r="D527" s="142" t="s">
        <v>193</v>
      </c>
      <c r="E527" s="150" t="s">
        <v>3</v>
      </c>
      <c r="F527" s="151" t="s">
        <v>1319</v>
      </c>
      <c r="H527" s="152">
        <v>15.6</v>
      </c>
      <c r="I527" s="153"/>
      <c r="L527" s="149"/>
      <c r="M527" s="154"/>
      <c r="T527" s="155"/>
      <c r="AT527" s="150" t="s">
        <v>193</v>
      </c>
      <c r="AU527" s="150" t="s">
        <v>87</v>
      </c>
      <c r="AV527" s="12" t="s">
        <v>87</v>
      </c>
      <c r="AW527" s="12" t="s">
        <v>36</v>
      </c>
      <c r="AX527" s="12" t="s">
        <v>77</v>
      </c>
      <c r="AY527" s="150" t="s">
        <v>177</v>
      </c>
    </row>
    <row r="528" spans="2:51" s="13" customFormat="1" ht="11.25">
      <c r="B528" s="156"/>
      <c r="D528" s="142" t="s">
        <v>193</v>
      </c>
      <c r="E528" s="157" t="s">
        <v>3</v>
      </c>
      <c r="F528" s="158" t="s">
        <v>1320</v>
      </c>
      <c r="H528" s="157" t="s">
        <v>3</v>
      </c>
      <c r="I528" s="159"/>
      <c r="L528" s="156"/>
      <c r="M528" s="160"/>
      <c r="T528" s="161"/>
      <c r="AT528" s="157" t="s">
        <v>193</v>
      </c>
      <c r="AU528" s="157" t="s">
        <v>87</v>
      </c>
      <c r="AV528" s="13" t="s">
        <v>85</v>
      </c>
      <c r="AW528" s="13" t="s">
        <v>36</v>
      </c>
      <c r="AX528" s="13" t="s">
        <v>77</v>
      </c>
      <c r="AY528" s="157" t="s">
        <v>177</v>
      </c>
    </row>
    <row r="529" spans="2:51" s="12" customFormat="1" ht="11.25">
      <c r="B529" s="149"/>
      <c r="D529" s="142" t="s">
        <v>193</v>
      </c>
      <c r="E529" s="150" t="s">
        <v>3</v>
      </c>
      <c r="F529" s="151" t="s">
        <v>1321</v>
      </c>
      <c r="H529" s="152">
        <v>10.163</v>
      </c>
      <c r="I529" s="153"/>
      <c r="L529" s="149"/>
      <c r="M529" s="154"/>
      <c r="T529" s="155"/>
      <c r="AT529" s="150" t="s">
        <v>193</v>
      </c>
      <c r="AU529" s="150" t="s">
        <v>87</v>
      </c>
      <c r="AV529" s="12" t="s">
        <v>87</v>
      </c>
      <c r="AW529" s="12" t="s">
        <v>36</v>
      </c>
      <c r="AX529" s="12" t="s">
        <v>77</v>
      </c>
      <c r="AY529" s="150" t="s">
        <v>177</v>
      </c>
    </row>
    <row r="530" spans="2:51" s="15" customFormat="1" ht="11.25">
      <c r="B530" s="169"/>
      <c r="D530" s="142" t="s">
        <v>193</v>
      </c>
      <c r="E530" s="170" t="s">
        <v>3</v>
      </c>
      <c r="F530" s="171" t="s">
        <v>201</v>
      </c>
      <c r="H530" s="172">
        <v>25.763</v>
      </c>
      <c r="I530" s="173"/>
      <c r="L530" s="169"/>
      <c r="M530" s="174"/>
      <c r="T530" s="175"/>
      <c r="AT530" s="170" t="s">
        <v>193</v>
      </c>
      <c r="AU530" s="170" t="s">
        <v>87</v>
      </c>
      <c r="AV530" s="15" t="s">
        <v>185</v>
      </c>
      <c r="AW530" s="15" t="s">
        <v>36</v>
      </c>
      <c r="AX530" s="15" t="s">
        <v>85</v>
      </c>
      <c r="AY530" s="170" t="s">
        <v>177</v>
      </c>
    </row>
    <row r="531" spans="2:63" s="11" customFormat="1" ht="22.9" customHeight="1">
      <c r="B531" s="116"/>
      <c r="D531" s="117" t="s">
        <v>76</v>
      </c>
      <c r="E531" s="126" t="s">
        <v>1322</v>
      </c>
      <c r="F531" s="126" t="s">
        <v>1323</v>
      </c>
      <c r="I531" s="119"/>
      <c r="J531" s="127">
        <f>BK531</f>
        <v>0</v>
      </c>
      <c r="L531" s="116"/>
      <c r="M531" s="121"/>
      <c r="P531" s="122">
        <f>SUM(P532:P539)</f>
        <v>0</v>
      </c>
      <c r="R531" s="122">
        <f>SUM(R532:R539)</f>
        <v>0</v>
      </c>
      <c r="T531" s="123">
        <f>SUM(T532:T539)</f>
        <v>0.396</v>
      </c>
      <c r="AR531" s="117" t="s">
        <v>87</v>
      </c>
      <c r="AT531" s="124" t="s">
        <v>76</v>
      </c>
      <c r="AU531" s="124" t="s">
        <v>85</v>
      </c>
      <c r="AY531" s="117" t="s">
        <v>177</v>
      </c>
      <c r="BK531" s="125">
        <f>SUM(BK532:BK539)</f>
        <v>0</v>
      </c>
    </row>
    <row r="532" spans="2:65" s="1" customFormat="1" ht="21.75" customHeight="1">
      <c r="B532" s="128"/>
      <c r="C532" s="129" t="s">
        <v>1324</v>
      </c>
      <c r="D532" s="129" t="s">
        <v>180</v>
      </c>
      <c r="E532" s="130" t="s">
        <v>1325</v>
      </c>
      <c r="F532" s="131" t="s">
        <v>1326</v>
      </c>
      <c r="G532" s="132" t="s">
        <v>332</v>
      </c>
      <c r="H532" s="133">
        <v>9.9</v>
      </c>
      <c r="I532" s="134"/>
      <c r="J532" s="135">
        <f>ROUND(I532*H532,2)</f>
        <v>0</v>
      </c>
      <c r="K532" s="131" t="s">
        <v>184</v>
      </c>
      <c r="L532" s="33"/>
      <c r="M532" s="136" t="s">
        <v>3</v>
      </c>
      <c r="N532" s="137" t="s">
        <v>48</v>
      </c>
      <c r="P532" s="138">
        <f>O532*H532</f>
        <v>0</v>
      </c>
      <c r="Q532" s="138">
        <v>0</v>
      </c>
      <c r="R532" s="138">
        <f>Q532*H532</f>
        <v>0</v>
      </c>
      <c r="S532" s="138">
        <v>0.015</v>
      </c>
      <c r="T532" s="139">
        <f>S532*H532</f>
        <v>0.1485</v>
      </c>
      <c r="AR532" s="140" t="s">
        <v>237</v>
      </c>
      <c r="AT532" s="140" t="s">
        <v>180</v>
      </c>
      <c r="AU532" s="140" t="s">
        <v>87</v>
      </c>
      <c r="AY532" s="18" t="s">
        <v>177</v>
      </c>
      <c r="BE532" s="141">
        <f>IF(N532="základní",J532,0)</f>
        <v>0</v>
      </c>
      <c r="BF532" s="141">
        <f>IF(N532="snížená",J532,0)</f>
        <v>0</v>
      </c>
      <c r="BG532" s="141">
        <f>IF(N532="zákl. přenesená",J532,0)</f>
        <v>0</v>
      </c>
      <c r="BH532" s="141">
        <f>IF(N532="sníž. přenesená",J532,0)</f>
        <v>0</v>
      </c>
      <c r="BI532" s="141">
        <f>IF(N532="nulová",J532,0)</f>
        <v>0</v>
      </c>
      <c r="BJ532" s="18" t="s">
        <v>85</v>
      </c>
      <c r="BK532" s="141">
        <f>ROUND(I532*H532,2)</f>
        <v>0</v>
      </c>
      <c r="BL532" s="18" t="s">
        <v>237</v>
      </c>
      <c r="BM532" s="140" t="s">
        <v>1327</v>
      </c>
    </row>
    <row r="533" spans="2:47" s="1" customFormat="1" ht="11.25">
      <c r="B533" s="33"/>
      <c r="D533" s="142" t="s">
        <v>187</v>
      </c>
      <c r="F533" s="143" t="s">
        <v>1328</v>
      </c>
      <c r="I533" s="144"/>
      <c r="L533" s="33"/>
      <c r="M533" s="145"/>
      <c r="T533" s="54"/>
      <c r="AT533" s="18" t="s">
        <v>187</v>
      </c>
      <c r="AU533" s="18" t="s">
        <v>87</v>
      </c>
    </row>
    <row r="534" spans="2:47" s="1" customFormat="1" ht="11.25">
      <c r="B534" s="33"/>
      <c r="D534" s="146" t="s">
        <v>189</v>
      </c>
      <c r="F534" s="147" t="s">
        <v>1329</v>
      </c>
      <c r="I534" s="144"/>
      <c r="L534" s="33"/>
      <c r="M534" s="145"/>
      <c r="T534" s="54"/>
      <c r="AT534" s="18" t="s">
        <v>189</v>
      </c>
      <c r="AU534" s="18" t="s">
        <v>87</v>
      </c>
    </row>
    <row r="535" spans="2:47" s="1" customFormat="1" ht="39">
      <c r="B535" s="33"/>
      <c r="D535" s="142" t="s">
        <v>191</v>
      </c>
      <c r="F535" s="148" t="s">
        <v>1330</v>
      </c>
      <c r="I535" s="144"/>
      <c r="L535" s="33"/>
      <c r="M535" s="145"/>
      <c r="T535" s="54"/>
      <c r="AT535" s="18" t="s">
        <v>191</v>
      </c>
      <c r="AU535" s="18" t="s">
        <v>87</v>
      </c>
    </row>
    <row r="536" spans="2:51" s="12" customFormat="1" ht="11.25">
      <c r="B536" s="149"/>
      <c r="D536" s="142" t="s">
        <v>193</v>
      </c>
      <c r="E536" s="150" t="s">
        <v>3</v>
      </c>
      <c r="F536" s="151" t="s">
        <v>1331</v>
      </c>
      <c r="H536" s="152">
        <v>9.9</v>
      </c>
      <c r="I536" s="153"/>
      <c r="L536" s="149"/>
      <c r="M536" s="154"/>
      <c r="T536" s="155"/>
      <c r="AT536" s="150" t="s">
        <v>193</v>
      </c>
      <c r="AU536" s="150" t="s">
        <v>87</v>
      </c>
      <c r="AV536" s="12" t="s">
        <v>87</v>
      </c>
      <c r="AW536" s="12" t="s">
        <v>36</v>
      </c>
      <c r="AX536" s="12" t="s">
        <v>85</v>
      </c>
      <c r="AY536" s="150" t="s">
        <v>177</v>
      </c>
    </row>
    <row r="537" spans="2:65" s="1" customFormat="1" ht="16.5" customHeight="1">
      <c r="B537" s="128"/>
      <c r="C537" s="129" t="s">
        <v>1332</v>
      </c>
      <c r="D537" s="129" t="s">
        <v>180</v>
      </c>
      <c r="E537" s="130" t="s">
        <v>1333</v>
      </c>
      <c r="F537" s="131" t="s">
        <v>1334</v>
      </c>
      <c r="G537" s="132" t="s">
        <v>332</v>
      </c>
      <c r="H537" s="133">
        <v>9.9</v>
      </c>
      <c r="I537" s="134"/>
      <c r="J537" s="135">
        <f>ROUND(I537*H537,2)</f>
        <v>0</v>
      </c>
      <c r="K537" s="131" t="s">
        <v>184</v>
      </c>
      <c r="L537" s="33"/>
      <c r="M537" s="136" t="s">
        <v>3</v>
      </c>
      <c r="N537" s="137" t="s">
        <v>48</v>
      </c>
      <c r="P537" s="138">
        <f>O537*H537</f>
        <v>0</v>
      </c>
      <c r="Q537" s="138">
        <v>0</v>
      </c>
      <c r="R537" s="138">
        <f>Q537*H537</f>
        <v>0</v>
      </c>
      <c r="S537" s="138">
        <v>0.025</v>
      </c>
      <c r="T537" s="139">
        <f>S537*H537</f>
        <v>0.24750000000000003</v>
      </c>
      <c r="AR537" s="140" t="s">
        <v>237</v>
      </c>
      <c r="AT537" s="140" t="s">
        <v>180</v>
      </c>
      <c r="AU537" s="140" t="s">
        <v>87</v>
      </c>
      <c r="AY537" s="18" t="s">
        <v>177</v>
      </c>
      <c r="BE537" s="141">
        <f>IF(N537="základní",J537,0)</f>
        <v>0</v>
      </c>
      <c r="BF537" s="141">
        <f>IF(N537="snížená",J537,0)</f>
        <v>0</v>
      </c>
      <c r="BG537" s="141">
        <f>IF(N537="zákl. přenesená",J537,0)</f>
        <v>0</v>
      </c>
      <c r="BH537" s="141">
        <f>IF(N537="sníž. přenesená",J537,0)</f>
        <v>0</v>
      </c>
      <c r="BI537" s="141">
        <f>IF(N537="nulová",J537,0)</f>
        <v>0</v>
      </c>
      <c r="BJ537" s="18" t="s">
        <v>85</v>
      </c>
      <c r="BK537" s="141">
        <f>ROUND(I537*H537,2)</f>
        <v>0</v>
      </c>
      <c r="BL537" s="18" t="s">
        <v>237</v>
      </c>
      <c r="BM537" s="140" t="s">
        <v>1335</v>
      </c>
    </row>
    <row r="538" spans="2:47" s="1" customFormat="1" ht="11.25">
      <c r="B538" s="33"/>
      <c r="D538" s="142" t="s">
        <v>187</v>
      </c>
      <c r="F538" s="143" t="s">
        <v>1336</v>
      </c>
      <c r="I538" s="144"/>
      <c r="L538" s="33"/>
      <c r="M538" s="145"/>
      <c r="T538" s="54"/>
      <c r="AT538" s="18" t="s">
        <v>187</v>
      </c>
      <c r="AU538" s="18" t="s">
        <v>87</v>
      </c>
    </row>
    <row r="539" spans="2:47" s="1" customFormat="1" ht="11.25">
      <c r="B539" s="33"/>
      <c r="D539" s="146" t="s">
        <v>189</v>
      </c>
      <c r="F539" s="147" t="s">
        <v>1337</v>
      </c>
      <c r="I539" s="144"/>
      <c r="L539" s="33"/>
      <c r="M539" s="145"/>
      <c r="T539" s="54"/>
      <c r="AT539" s="18" t="s">
        <v>189</v>
      </c>
      <c r="AU539" s="18" t="s">
        <v>87</v>
      </c>
    </row>
    <row r="540" spans="2:63" s="11" customFormat="1" ht="25.9" customHeight="1">
      <c r="B540" s="116"/>
      <c r="D540" s="117" t="s">
        <v>76</v>
      </c>
      <c r="E540" s="118" t="s">
        <v>313</v>
      </c>
      <c r="F540" s="118" t="s">
        <v>314</v>
      </c>
      <c r="I540" s="119"/>
      <c r="J540" s="120">
        <f>BK540</f>
        <v>0</v>
      </c>
      <c r="L540" s="116"/>
      <c r="M540" s="121"/>
      <c r="P540" s="122">
        <f>SUM(P541:P543)</f>
        <v>0</v>
      </c>
      <c r="R540" s="122">
        <f>SUM(R541:R543)</f>
        <v>0</v>
      </c>
      <c r="T540" s="123">
        <f>SUM(T541:T543)</f>
        <v>0</v>
      </c>
      <c r="AR540" s="117" t="s">
        <v>185</v>
      </c>
      <c r="AT540" s="124" t="s">
        <v>76</v>
      </c>
      <c r="AU540" s="124" t="s">
        <v>77</v>
      </c>
      <c r="AY540" s="117" t="s">
        <v>177</v>
      </c>
      <c r="BK540" s="125">
        <f>SUM(BK541:BK543)</f>
        <v>0</v>
      </c>
    </row>
    <row r="541" spans="2:65" s="1" customFormat="1" ht="16.5" customHeight="1">
      <c r="B541" s="128"/>
      <c r="C541" s="129" t="s">
        <v>1338</v>
      </c>
      <c r="D541" s="129" t="s">
        <v>180</v>
      </c>
      <c r="E541" s="130" t="s">
        <v>528</v>
      </c>
      <c r="F541" s="131" t="s">
        <v>529</v>
      </c>
      <c r="G541" s="132" t="s">
        <v>305</v>
      </c>
      <c r="H541" s="133">
        <v>100</v>
      </c>
      <c r="I541" s="134"/>
      <c r="J541" s="135">
        <f>ROUND(I541*H541,2)</f>
        <v>0</v>
      </c>
      <c r="K541" s="131" t="s">
        <v>184</v>
      </c>
      <c r="L541" s="33"/>
      <c r="M541" s="136" t="s">
        <v>3</v>
      </c>
      <c r="N541" s="137" t="s">
        <v>48</v>
      </c>
      <c r="P541" s="138">
        <f>O541*H541</f>
        <v>0</v>
      </c>
      <c r="Q541" s="138">
        <v>0</v>
      </c>
      <c r="R541" s="138">
        <f>Q541*H541</f>
        <v>0</v>
      </c>
      <c r="S541" s="138">
        <v>0</v>
      </c>
      <c r="T541" s="139">
        <f>S541*H541</f>
        <v>0</v>
      </c>
      <c r="AR541" s="140" t="s">
        <v>318</v>
      </c>
      <c r="AT541" s="140" t="s">
        <v>180</v>
      </c>
      <c r="AU541" s="140" t="s">
        <v>85</v>
      </c>
      <c r="AY541" s="18" t="s">
        <v>177</v>
      </c>
      <c r="BE541" s="141">
        <f>IF(N541="základní",J541,0)</f>
        <v>0</v>
      </c>
      <c r="BF541" s="141">
        <f>IF(N541="snížená",J541,0)</f>
        <v>0</v>
      </c>
      <c r="BG541" s="141">
        <f>IF(N541="zákl. přenesená",J541,0)</f>
        <v>0</v>
      </c>
      <c r="BH541" s="141">
        <f>IF(N541="sníž. přenesená",J541,0)</f>
        <v>0</v>
      </c>
      <c r="BI541" s="141">
        <f>IF(N541="nulová",J541,0)</f>
        <v>0</v>
      </c>
      <c r="BJ541" s="18" t="s">
        <v>85</v>
      </c>
      <c r="BK541" s="141">
        <f>ROUND(I541*H541,2)</f>
        <v>0</v>
      </c>
      <c r="BL541" s="18" t="s">
        <v>318</v>
      </c>
      <c r="BM541" s="140" t="s">
        <v>1339</v>
      </c>
    </row>
    <row r="542" spans="2:47" s="1" customFormat="1" ht="19.5">
      <c r="B542" s="33"/>
      <c r="D542" s="142" t="s">
        <v>187</v>
      </c>
      <c r="F542" s="143" t="s">
        <v>531</v>
      </c>
      <c r="I542" s="144"/>
      <c r="L542" s="33"/>
      <c r="M542" s="145"/>
      <c r="T542" s="54"/>
      <c r="AT542" s="18" t="s">
        <v>187</v>
      </c>
      <c r="AU542" s="18" t="s">
        <v>85</v>
      </c>
    </row>
    <row r="543" spans="2:47" s="1" customFormat="1" ht="11.25">
      <c r="B543" s="33"/>
      <c r="D543" s="146" t="s">
        <v>189</v>
      </c>
      <c r="F543" s="147" t="s">
        <v>532</v>
      </c>
      <c r="I543" s="144"/>
      <c r="L543" s="33"/>
      <c r="M543" s="189"/>
      <c r="N543" s="190"/>
      <c r="O543" s="190"/>
      <c r="P543" s="190"/>
      <c r="Q543" s="190"/>
      <c r="R543" s="190"/>
      <c r="S543" s="190"/>
      <c r="T543" s="191"/>
      <c r="AT543" s="18" t="s">
        <v>189</v>
      </c>
      <c r="AU543" s="18" t="s">
        <v>85</v>
      </c>
    </row>
    <row r="544" spans="2:12" s="1" customFormat="1" ht="6.95" customHeight="1">
      <c r="B544" s="42"/>
      <c r="C544" s="43"/>
      <c r="D544" s="43"/>
      <c r="E544" s="43"/>
      <c r="F544" s="43"/>
      <c r="G544" s="43"/>
      <c r="H544" s="43"/>
      <c r="I544" s="43"/>
      <c r="J544" s="43"/>
      <c r="K544" s="43"/>
      <c r="L544" s="33"/>
    </row>
  </sheetData>
  <autoFilter ref="C91:K543"/>
  <mergeCells count="9">
    <mergeCell ref="E50:H50"/>
    <mergeCell ref="E82:H82"/>
    <mergeCell ref="E84:H84"/>
    <mergeCell ref="L2:V2"/>
    <mergeCell ref="E7:H7"/>
    <mergeCell ref="E9:H9"/>
    <mergeCell ref="E18:H18"/>
    <mergeCell ref="E27:H27"/>
    <mergeCell ref="E48:H48"/>
  </mergeCells>
  <hyperlinks>
    <hyperlink ref="F97" r:id="rId1" display="https://podminky.urs.cz/item/CS_URS_2022_02/311272031"/>
    <hyperlink ref="F103" r:id="rId2" display="https://podminky.urs.cz/item/CS_URS_2022_02/311272111"/>
    <hyperlink ref="F108" r:id="rId3" display="https://podminky.urs.cz/item/CS_URS_2022_02/311272211"/>
    <hyperlink ref="F120" r:id="rId4" display="https://podminky.urs.cz/item/CS_URS_2022_02/317941121"/>
    <hyperlink ref="F131" r:id="rId5" display="https://podminky.urs.cz/item/CS_URS_2022_02/317944321"/>
    <hyperlink ref="F152" r:id="rId6" display="https://podminky.urs.cz/item/CS_URS_2022_02/342291143"/>
    <hyperlink ref="F158" r:id="rId7" display="https://podminky.urs.cz/item/CS_URS_2022_02/349231811"/>
    <hyperlink ref="F165" r:id="rId8" display="https://podminky.urs.cz/item/CS_URS_2022_02/612335302"/>
    <hyperlink ref="F172" r:id="rId9" display="https://podminky.urs.cz/item/CS_URS_2022_02/615142012"/>
    <hyperlink ref="F176" r:id="rId10" display="https://podminky.urs.cz/item/CS_URS_2022_02/629135102"/>
    <hyperlink ref="F182" r:id="rId11" display="https://podminky.urs.cz/item/CS_URS_2022_02/941221111"/>
    <hyperlink ref="F187" r:id="rId12" display="https://podminky.urs.cz/item/CS_URS_2022_02/941221211"/>
    <hyperlink ref="F192" r:id="rId13" display="https://podminky.urs.cz/item/CS_URS_2022_02/941221811"/>
    <hyperlink ref="F196" r:id="rId14" display="https://podminky.urs.cz/item/CS_URS_2022_02/944511111"/>
    <hyperlink ref="F200" r:id="rId15" display="https://podminky.urs.cz/item/CS_URS_2022_02/944511211"/>
    <hyperlink ref="F204" r:id="rId16" display="https://podminky.urs.cz/item/CS_URS_2022_02/944511811"/>
    <hyperlink ref="F207" r:id="rId17" display="https://podminky.urs.cz/item/CS_URS_2022_02/949101112"/>
    <hyperlink ref="F212" r:id="rId18" display="https://podminky.urs.cz/item/CS_URS_2022_02/952901111"/>
    <hyperlink ref="F216" r:id="rId19" display="https://podminky.urs.cz/item/CS_URS_2022_02/961044111"/>
    <hyperlink ref="F221" r:id="rId20" display="https://podminky.urs.cz/item/CS_URS_2022_02/962042521"/>
    <hyperlink ref="F228" r:id="rId21" display="https://podminky.urs.cz/item/CS_URS_2022_02/962052211"/>
    <hyperlink ref="F240" r:id="rId22" display="https://podminky.urs.cz/item/CS_URS_2022_02/963012510"/>
    <hyperlink ref="F246" r:id="rId23" display="https://podminky.urs.cz/item/CS_URS_2022_02/965045113"/>
    <hyperlink ref="F251" r:id="rId24" display="https://podminky.urs.cz/item/CS_URS_2022_02/968072354"/>
    <hyperlink ref="F257" r:id="rId25" display="https://podminky.urs.cz/item/CS_URS_2022_02/968072455"/>
    <hyperlink ref="F263" r:id="rId26" display="https://podminky.urs.cz/item/CS_URS_2022_02/968072456"/>
    <hyperlink ref="F269" r:id="rId27" display="https://podminky.urs.cz/item/CS_URS_2022_02/968082015"/>
    <hyperlink ref="F275" r:id="rId28" display="https://podminky.urs.cz/item/CS_URS_2022_02/968082016"/>
    <hyperlink ref="F281" r:id="rId29" display="https://podminky.urs.cz/item/CS_URS_2022_02/968082018"/>
    <hyperlink ref="F287" r:id="rId30" display="https://podminky.urs.cz/item/CS_URS_2022_02/971033631"/>
    <hyperlink ref="F292" r:id="rId31" display="https://podminky.urs.cz/item/CS_URS_2022_02/971033641"/>
    <hyperlink ref="F297" r:id="rId32" display="https://podminky.urs.cz/item/CS_URS_2022_02/971052651"/>
    <hyperlink ref="F308" r:id="rId33" display="https://podminky.urs.cz/item/CS_URS_2022_02/973031335"/>
    <hyperlink ref="F315" r:id="rId34" display="https://podminky.urs.cz/item/CS_URS_2022_02/975053141"/>
    <hyperlink ref="F321" r:id="rId35" display="https://podminky.urs.cz/item/CS_URS_2022_02/975058141"/>
    <hyperlink ref="F325" r:id="rId36" display="https://podminky.urs.cz/item/CS_URS_2022_02/978011191"/>
    <hyperlink ref="F329" r:id="rId37" display="https://podminky.urs.cz/item/CS_URS_2022_02/985112112"/>
    <hyperlink ref="F334" r:id="rId38" display="https://podminky.urs.cz/item/CS_URS_2022_02/985112113"/>
    <hyperlink ref="F338" r:id="rId39" display="https://podminky.urs.cz/item/CS_URS_2022_02/985112132"/>
    <hyperlink ref="F343" r:id="rId40" display="https://podminky.urs.cz/item/CS_URS_2022_02/985112133"/>
    <hyperlink ref="F347" r:id="rId41" display="https://podminky.urs.cz/item/CS_URS_2022_02/985121122"/>
    <hyperlink ref="F351" r:id="rId42" display="https://podminky.urs.cz/item/CS_URS_2022_02/985131311"/>
    <hyperlink ref="F355" r:id="rId43" display="https://podminky.urs.cz/item/CS_URS_2022_02/985139112"/>
    <hyperlink ref="F359" r:id="rId44" display="https://podminky.urs.cz/item/CS_URS_2022_02/985311112"/>
    <hyperlink ref="F365" r:id="rId45" display="https://podminky.urs.cz/item/CS_URS_2022_02/985311114"/>
    <hyperlink ref="F371" r:id="rId46" display="https://podminky.urs.cz/item/CS_URS_2022_02/985311312"/>
    <hyperlink ref="F377" r:id="rId47" display="https://podminky.urs.cz/item/CS_URS_2022_02/985311314"/>
    <hyperlink ref="F383" r:id="rId48" display="https://podminky.urs.cz/item/CS_URS_2022_02/985321111"/>
    <hyperlink ref="F388" r:id="rId49" display="https://podminky.urs.cz/item/CS_URS_2022_02/985321112"/>
    <hyperlink ref="F392" r:id="rId50" display="https://podminky.urs.cz/item/CS_URS_2022_02/985323111"/>
    <hyperlink ref="F398" r:id="rId51" display="https://podminky.urs.cz/item/CS_URS_2022_02/985331213"/>
    <hyperlink ref="F408" r:id="rId52" display="https://podminky.urs.cz/item/CS_URS_2022_02/997013213"/>
    <hyperlink ref="F412" r:id="rId53" display="https://podminky.urs.cz/item/CS_URS_2022_02/997013219"/>
    <hyperlink ref="F417" r:id="rId54" display="https://podminky.urs.cz/item/CS_URS_2022_02/997013501"/>
    <hyperlink ref="F421" r:id="rId55" display="https://podminky.urs.cz/item/CS_URS_2022_02/997013509"/>
    <hyperlink ref="F426" r:id="rId56" display="https://podminky.urs.cz/item/CS_URS_2022_02/997013813"/>
    <hyperlink ref="F431" r:id="rId57" display="https://podminky.urs.cz/item/CS_URS_2022_02/997013814"/>
    <hyperlink ref="F436" r:id="rId58" display="https://podminky.urs.cz/item/CS_URS_2022_02/997013847"/>
    <hyperlink ref="F440" r:id="rId59" display="https://podminky.urs.cz/item/CS_URS_2022_02/997013862"/>
    <hyperlink ref="F447" r:id="rId60" display="https://podminky.urs.cz/item/CS_URS_2022_02/997013867"/>
    <hyperlink ref="F452" r:id="rId61" display="https://podminky.urs.cz/item/CS_URS_2022_02/997013871"/>
    <hyperlink ref="F460" r:id="rId62" display="https://podminky.urs.cz/item/CS_URS_2022_02/998018002"/>
    <hyperlink ref="F466" r:id="rId63" display="https://podminky.urs.cz/item/CS_URS_2022_02/712340833"/>
    <hyperlink ref="F477" r:id="rId64" display="https://podminky.urs.cz/item/CS_URS_2022_02/712340834"/>
    <hyperlink ref="F480" r:id="rId65" display="https://podminky.urs.cz/item/CS_URS_2022_02/712300845"/>
    <hyperlink ref="F484" r:id="rId66" display="https://podminky.urs.cz/item/CS_URS_2022_02/713140814"/>
    <hyperlink ref="F489" r:id="rId67" display="https://podminky.urs.cz/item/CS_URS_2022_02/713140823"/>
    <hyperlink ref="F496" r:id="rId68" display="https://podminky.urs.cz/item/CS_URS_2022_02/762331813"/>
    <hyperlink ref="F501" r:id="rId69" display="https://podminky.urs.cz/item/CS_URS_2022_02/762341832"/>
    <hyperlink ref="F510" r:id="rId70" display="https://podminky.urs.cz/item/CS_URS_2022_02/764002821"/>
    <hyperlink ref="F513" r:id="rId71" display="https://podminky.urs.cz/item/CS_URS_2022_02/764002841"/>
    <hyperlink ref="F519" r:id="rId72" display="https://podminky.urs.cz/item/CS_URS_2022_02/764002851"/>
    <hyperlink ref="F525" r:id="rId73" display="https://podminky.urs.cz/item/CS_URS_2022_02/764002881"/>
    <hyperlink ref="F534" r:id="rId74" display="https://podminky.urs.cz/item/CS_URS_2022_02/767311831"/>
    <hyperlink ref="F539" r:id="rId75" display="https://podminky.urs.cz/item/CS_URS_2022_02/767321810"/>
    <hyperlink ref="F543" r:id="rId76"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5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102</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1340</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ROUND(J91,2)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ROUND((SUM(BE91:BE249)),2)</f>
        <v>0</v>
      </c>
      <c r="I33" s="90">
        <v>0.21</v>
      </c>
      <c r="J33" s="89">
        <f>ROUND(((SUM(BE91:BE249))*I33),2)</f>
        <v>0</v>
      </c>
      <c r="L33" s="33"/>
    </row>
    <row r="34" spans="2:12" s="1" customFormat="1" ht="14.45" customHeight="1">
      <c r="B34" s="33"/>
      <c r="E34" s="28" t="s">
        <v>49</v>
      </c>
      <c r="F34" s="89">
        <f>ROUND((SUM(BF91:BF249)),2)</f>
        <v>0</v>
      </c>
      <c r="I34" s="90">
        <v>0.15</v>
      </c>
      <c r="J34" s="89">
        <f>ROUND(((SUM(BF91:BF249))*I34),2)</f>
        <v>0</v>
      </c>
      <c r="L34" s="33"/>
    </row>
    <row r="35" spans="2:12" s="1" customFormat="1" ht="14.45" customHeight="1" hidden="1">
      <c r="B35" s="33"/>
      <c r="E35" s="28" t="s">
        <v>50</v>
      </c>
      <c r="F35" s="89">
        <f>ROUND((SUM(BG91:BG249)),2)</f>
        <v>0</v>
      </c>
      <c r="I35" s="90">
        <v>0.21</v>
      </c>
      <c r="J35" s="89">
        <f>0</f>
        <v>0</v>
      </c>
      <c r="L35" s="33"/>
    </row>
    <row r="36" spans="2:12" s="1" customFormat="1" ht="14.45" customHeight="1" hidden="1">
      <c r="B36" s="33"/>
      <c r="E36" s="28" t="s">
        <v>51</v>
      </c>
      <c r="F36" s="89">
        <f>ROUND((SUM(BH91:BH249)),2)</f>
        <v>0</v>
      </c>
      <c r="I36" s="90">
        <v>0.15</v>
      </c>
      <c r="J36" s="89">
        <f>0</f>
        <v>0</v>
      </c>
      <c r="L36" s="33"/>
    </row>
    <row r="37" spans="2:12" s="1" customFormat="1" ht="14.45" customHeight="1" hidden="1">
      <c r="B37" s="33"/>
      <c r="E37" s="28" t="s">
        <v>52</v>
      </c>
      <c r="F37" s="89">
        <f>ROUND((SUM(BI91:BI249)),2)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6 - Provedení střechy po parozábranu</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J91</f>
        <v>0</v>
      </c>
      <c r="L59" s="33"/>
      <c r="AU59" s="18" t="s">
        <v>152</v>
      </c>
    </row>
    <row r="60" spans="2:12" s="8" customFormat="1" ht="24.95" customHeight="1">
      <c r="B60" s="100"/>
      <c r="D60" s="101" t="s">
        <v>153</v>
      </c>
      <c r="E60" s="102"/>
      <c r="F60" s="102"/>
      <c r="G60" s="102"/>
      <c r="H60" s="102"/>
      <c r="I60" s="102"/>
      <c r="J60" s="103">
        <f>J92</f>
        <v>0</v>
      </c>
      <c r="L60" s="100"/>
    </row>
    <row r="61" spans="2:12" s="9" customFormat="1" ht="19.9" customHeight="1">
      <c r="B61" s="104"/>
      <c r="D61" s="105" t="s">
        <v>545</v>
      </c>
      <c r="E61" s="106"/>
      <c r="F61" s="106"/>
      <c r="G61" s="106"/>
      <c r="H61" s="106"/>
      <c r="I61" s="106"/>
      <c r="J61" s="107">
        <f>J93</f>
        <v>0</v>
      </c>
      <c r="L61" s="104"/>
    </row>
    <row r="62" spans="2:12" s="9" customFormat="1" ht="19.9" customHeight="1">
      <c r="B62" s="104"/>
      <c r="D62" s="105" t="s">
        <v>546</v>
      </c>
      <c r="E62" s="106"/>
      <c r="F62" s="106"/>
      <c r="G62" s="106"/>
      <c r="H62" s="106"/>
      <c r="I62" s="106"/>
      <c r="J62" s="107">
        <f>J100</f>
        <v>0</v>
      </c>
      <c r="L62" s="104"/>
    </row>
    <row r="63" spans="2:12" s="9" customFormat="1" ht="19.9" customHeight="1">
      <c r="B63" s="104"/>
      <c r="D63" s="105" t="s">
        <v>325</v>
      </c>
      <c r="E63" s="106"/>
      <c r="F63" s="106"/>
      <c r="G63" s="106"/>
      <c r="H63" s="106"/>
      <c r="I63" s="106"/>
      <c r="J63" s="107">
        <f>J127</f>
        <v>0</v>
      </c>
      <c r="L63" s="104"/>
    </row>
    <row r="64" spans="2:12" s="9" customFormat="1" ht="19.9" customHeight="1">
      <c r="B64" s="104"/>
      <c r="D64" s="105" t="s">
        <v>154</v>
      </c>
      <c r="E64" s="106"/>
      <c r="F64" s="106"/>
      <c r="G64" s="106"/>
      <c r="H64" s="106"/>
      <c r="I64" s="106"/>
      <c r="J64" s="107">
        <f>J166</f>
        <v>0</v>
      </c>
      <c r="L64" s="104"/>
    </row>
    <row r="65" spans="2:12" s="9" customFormat="1" ht="19.9" customHeight="1">
      <c r="B65" s="104"/>
      <c r="D65" s="105" t="s">
        <v>326</v>
      </c>
      <c r="E65" s="106"/>
      <c r="F65" s="106"/>
      <c r="G65" s="106"/>
      <c r="H65" s="106"/>
      <c r="I65" s="106"/>
      <c r="J65" s="107">
        <f>J189</f>
        <v>0</v>
      </c>
      <c r="L65" s="104"/>
    </row>
    <row r="66" spans="2:12" s="8" customFormat="1" ht="24.95" customHeight="1">
      <c r="B66" s="100"/>
      <c r="D66" s="101" t="s">
        <v>155</v>
      </c>
      <c r="E66" s="102"/>
      <c r="F66" s="102"/>
      <c r="G66" s="102"/>
      <c r="H66" s="102"/>
      <c r="I66" s="102"/>
      <c r="J66" s="103">
        <f>J194</f>
        <v>0</v>
      </c>
      <c r="L66" s="100"/>
    </row>
    <row r="67" spans="2:12" s="9" customFormat="1" ht="19.9" customHeight="1">
      <c r="B67" s="104"/>
      <c r="D67" s="105" t="s">
        <v>921</v>
      </c>
      <c r="E67" s="106"/>
      <c r="F67" s="106"/>
      <c r="G67" s="106"/>
      <c r="H67" s="106"/>
      <c r="I67" s="106"/>
      <c r="J67" s="107">
        <f>J195</f>
        <v>0</v>
      </c>
      <c r="L67" s="104"/>
    </row>
    <row r="68" spans="2:12" s="9" customFormat="1" ht="19.9" customHeight="1">
      <c r="B68" s="104"/>
      <c r="D68" s="105" t="s">
        <v>922</v>
      </c>
      <c r="E68" s="106"/>
      <c r="F68" s="106"/>
      <c r="G68" s="106"/>
      <c r="H68" s="106"/>
      <c r="I68" s="106"/>
      <c r="J68" s="107">
        <f>J218</f>
        <v>0</v>
      </c>
      <c r="L68" s="104"/>
    </row>
    <row r="69" spans="2:12" s="8" customFormat="1" ht="24.95" customHeight="1">
      <c r="B69" s="100"/>
      <c r="D69" s="101" t="s">
        <v>161</v>
      </c>
      <c r="E69" s="102"/>
      <c r="F69" s="102"/>
      <c r="G69" s="102"/>
      <c r="H69" s="102"/>
      <c r="I69" s="102"/>
      <c r="J69" s="103">
        <f>J238</f>
        <v>0</v>
      </c>
      <c r="L69" s="100"/>
    </row>
    <row r="70" spans="2:12" s="8" customFormat="1" ht="24.95" customHeight="1">
      <c r="B70" s="100"/>
      <c r="D70" s="101" t="s">
        <v>327</v>
      </c>
      <c r="E70" s="102"/>
      <c r="F70" s="102"/>
      <c r="G70" s="102"/>
      <c r="H70" s="102"/>
      <c r="I70" s="102"/>
      <c r="J70" s="103">
        <f>J242</f>
        <v>0</v>
      </c>
      <c r="L70" s="100"/>
    </row>
    <row r="71" spans="2:12" s="9" customFormat="1" ht="19.9" customHeight="1">
      <c r="B71" s="104"/>
      <c r="D71" s="105" t="s">
        <v>328</v>
      </c>
      <c r="E71" s="106"/>
      <c r="F71" s="106"/>
      <c r="G71" s="106"/>
      <c r="H71" s="106"/>
      <c r="I71" s="106"/>
      <c r="J71" s="107">
        <f>J243</f>
        <v>0</v>
      </c>
      <c r="L71" s="104"/>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162</v>
      </c>
      <c r="L78" s="33"/>
    </row>
    <row r="79" spans="2:12" s="1" customFormat="1" ht="6.95" customHeight="1">
      <c r="B79" s="33"/>
      <c r="L79" s="33"/>
    </row>
    <row r="80" spans="2:12" s="1" customFormat="1" ht="12" customHeight="1">
      <c r="B80" s="33"/>
      <c r="C80" s="28" t="s">
        <v>17</v>
      </c>
      <c r="L80" s="33"/>
    </row>
    <row r="81" spans="2:12" s="1" customFormat="1" ht="16.5" customHeight="1">
      <c r="B81" s="33"/>
      <c r="E81" s="315" t="str">
        <f>E7</f>
        <v>ZŠ P. HOLÉHO - PŘESTAVBA PLAVECKÉHO PAVILONU</v>
      </c>
      <c r="F81" s="316"/>
      <c r="G81" s="316"/>
      <c r="H81" s="316"/>
      <c r="L81" s="33"/>
    </row>
    <row r="82" spans="2:12" s="1" customFormat="1" ht="12" customHeight="1">
      <c r="B82" s="33"/>
      <c r="C82" s="28" t="s">
        <v>146</v>
      </c>
      <c r="L82" s="33"/>
    </row>
    <row r="83" spans="2:12" s="1" customFormat="1" ht="16.5" customHeight="1">
      <c r="B83" s="33"/>
      <c r="E83" s="281" t="str">
        <f>E9</f>
        <v>E 6 - Provedení střechy po parozábranu</v>
      </c>
      <c r="F83" s="317"/>
      <c r="G83" s="317"/>
      <c r="H83" s="317"/>
      <c r="L83" s="33"/>
    </row>
    <row r="84" spans="2:12" s="1" customFormat="1" ht="6.95" customHeight="1">
      <c r="B84" s="33"/>
      <c r="L84" s="33"/>
    </row>
    <row r="85" spans="2:12" s="1" customFormat="1" ht="12" customHeight="1">
      <c r="B85" s="33"/>
      <c r="C85" s="28" t="s">
        <v>21</v>
      </c>
      <c r="F85" s="26" t="str">
        <f>F12</f>
        <v>Prokopa Holého 2632, Louny, 440 01</v>
      </c>
      <c r="I85" s="28" t="s">
        <v>23</v>
      </c>
      <c r="J85" s="50" t="str">
        <f>IF(J12="","",J12)</f>
        <v>21. 9. 2022</v>
      </c>
      <c r="L85" s="33"/>
    </row>
    <row r="86" spans="2:12" s="1" customFormat="1" ht="6.95" customHeight="1">
      <c r="B86" s="33"/>
      <c r="L86" s="33"/>
    </row>
    <row r="87" spans="2:12" s="1" customFormat="1" ht="15.2" customHeight="1">
      <c r="B87" s="33"/>
      <c r="C87" s="28" t="s">
        <v>25</v>
      </c>
      <c r="F87" s="26" t="str">
        <f>E15</f>
        <v>Město Louny</v>
      </c>
      <c r="I87" s="28" t="s">
        <v>32</v>
      </c>
      <c r="J87" s="31" t="str">
        <f>E21</f>
        <v>RYSIK Design s.r.o.</v>
      </c>
      <c r="L87" s="33"/>
    </row>
    <row r="88" spans="2:12" s="1" customFormat="1" ht="25.7" customHeight="1">
      <c r="B88" s="33"/>
      <c r="C88" s="28" t="s">
        <v>30</v>
      </c>
      <c r="F88" s="26" t="str">
        <f>IF(E18="","",E18)</f>
        <v>Vyplň údaj</v>
      </c>
      <c r="I88" s="28" t="s">
        <v>37</v>
      </c>
      <c r="J88" s="31" t="str">
        <f>E24</f>
        <v>ing. Kateřina Tumpachová</v>
      </c>
      <c r="L88" s="33"/>
    </row>
    <row r="89" spans="2:12" s="1" customFormat="1" ht="10.35" customHeight="1">
      <c r="B89" s="33"/>
      <c r="L89" s="33"/>
    </row>
    <row r="90" spans="2:20" s="10" customFormat="1" ht="29.25" customHeight="1">
      <c r="B90" s="108"/>
      <c r="C90" s="109" t="s">
        <v>163</v>
      </c>
      <c r="D90" s="110" t="s">
        <v>62</v>
      </c>
      <c r="E90" s="110" t="s">
        <v>58</v>
      </c>
      <c r="F90" s="110" t="s">
        <v>59</v>
      </c>
      <c r="G90" s="110" t="s">
        <v>164</v>
      </c>
      <c r="H90" s="110" t="s">
        <v>165</v>
      </c>
      <c r="I90" s="110" t="s">
        <v>166</v>
      </c>
      <c r="J90" s="110" t="s">
        <v>151</v>
      </c>
      <c r="K90" s="111" t="s">
        <v>167</v>
      </c>
      <c r="L90" s="108"/>
      <c r="M90" s="57" t="s">
        <v>3</v>
      </c>
      <c r="N90" s="58" t="s">
        <v>47</v>
      </c>
      <c r="O90" s="58" t="s">
        <v>168</v>
      </c>
      <c r="P90" s="58" t="s">
        <v>169</v>
      </c>
      <c r="Q90" s="58" t="s">
        <v>170</v>
      </c>
      <c r="R90" s="58" t="s">
        <v>171</v>
      </c>
      <c r="S90" s="58" t="s">
        <v>172</v>
      </c>
      <c r="T90" s="59" t="s">
        <v>173</v>
      </c>
    </row>
    <row r="91" spans="2:63" s="1" customFormat="1" ht="22.9" customHeight="1">
      <c r="B91" s="33"/>
      <c r="C91" s="62" t="s">
        <v>174</v>
      </c>
      <c r="J91" s="112">
        <f>BK91</f>
        <v>0</v>
      </c>
      <c r="L91" s="33"/>
      <c r="M91" s="60"/>
      <c r="N91" s="51"/>
      <c r="O91" s="51"/>
      <c r="P91" s="113">
        <f>P92+P194+P238+P242</f>
        <v>0</v>
      </c>
      <c r="Q91" s="51"/>
      <c r="R91" s="113">
        <f>R92+R194+R238+R242</f>
        <v>29.054122590439995</v>
      </c>
      <c r="S91" s="51"/>
      <c r="T91" s="114">
        <f>T92+T194+T238+T242</f>
        <v>0.02375</v>
      </c>
      <c r="AT91" s="18" t="s">
        <v>76</v>
      </c>
      <c r="AU91" s="18" t="s">
        <v>152</v>
      </c>
      <c r="BK91" s="115">
        <f>BK92+BK194+BK238+BK242</f>
        <v>0</v>
      </c>
    </row>
    <row r="92" spans="2:63" s="11" customFormat="1" ht="25.9" customHeight="1">
      <c r="B92" s="116"/>
      <c r="D92" s="117" t="s">
        <v>76</v>
      </c>
      <c r="E92" s="118" t="s">
        <v>175</v>
      </c>
      <c r="F92" s="118" t="s">
        <v>176</v>
      </c>
      <c r="I92" s="119"/>
      <c r="J92" s="120">
        <f>BK92</f>
        <v>0</v>
      </c>
      <c r="L92" s="116"/>
      <c r="M92" s="121"/>
      <c r="P92" s="122">
        <f>P93+P100+P127+P166+P189</f>
        <v>0</v>
      </c>
      <c r="R92" s="122">
        <f>R93+R100+R127+R166+R189</f>
        <v>26.626473214399994</v>
      </c>
      <c r="T92" s="123">
        <f>T93+T100+T127+T166+T189</f>
        <v>0.02375</v>
      </c>
      <c r="AR92" s="117" t="s">
        <v>85</v>
      </c>
      <c r="AT92" s="124" t="s">
        <v>76</v>
      </c>
      <c r="AU92" s="124" t="s">
        <v>77</v>
      </c>
      <c r="AY92" s="117" t="s">
        <v>177</v>
      </c>
      <c r="BK92" s="125">
        <f>BK93+BK100+BK127+BK166+BK189</f>
        <v>0</v>
      </c>
    </row>
    <row r="93" spans="2:63" s="11" customFormat="1" ht="22.9" customHeight="1">
      <c r="B93" s="116"/>
      <c r="D93" s="117" t="s">
        <v>76</v>
      </c>
      <c r="E93" s="126" t="s">
        <v>198</v>
      </c>
      <c r="F93" s="126" t="s">
        <v>559</v>
      </c>
      <c r="I93" s="119"/>
      <c r="J93" s="127">
        <f>BK93</f>
        <v>0</v>
      </c>
      <c r="L93" s="116"/>
      <c r="M93" s="121"/>
      <c r="P93" s="122">
        <f>SUM(P94:P99)</f>
        <v>0</v>
      </c>
      <c r="R93" s="122">
        <f>SUM(R94:R99)</f>
        <v>0.9101776599999999</v>
      </c>
      <c r="T93" s="123">
        <f>SUM(T94:T99)</f>
        <v>0</v>
      </c>
      <c r="AR93" s="117" t="s">
        <v>85</v>
      </c>
      <c r="AT93" s="124" t="s">
        <v>76</v>
      </c>
      <c r="AU93" s="124" t="s">
        <v>85</v>
      </c>
      <c r="AY93" s="117" t="s">
        <v>177</v>
      </c>
      <c r="BK93" s="125">
        <f>SUM(BK94:BK99)</f>
        <v>0</v>
      </c>
    </row>
    <row r="94" spans="2:65" s="1" customFormat="1" ht="37.9" customHeight="1">
      <c r="B94" s="128"/>
      <c r="C94" s="129" t="s">
        <v>85</v>
      </c>
      <c r="D94" s="129" t="s">
        <v>180</v>
      </c>
      <c r="E94" s="130" t="s">
        <v>568</v>
      </c>
      <c r="F94" s="131" t="s">
        <v>569</v>
      </c>
      <c r="G94" s="132" t="s">
        <v>332</v>
      </c>
      <c r="H94" s="133">
        <v>5.959</v>
      </c>
      <c r="I94" s="134"/>
      <c r="J94" s="135">
        <f>ROUND(I94*H94,2)</f>
        <v>0</v>
      </c>
      <c r="K94" s="131" t="s">
        <v>184</v>
      </c>
      <c r="L94" s="33"/>
      <c r="M94" s="136" t="s">
        <v>3</v>
      </c>
      <c r="N94" s="137" t="s">
        <v>48</v>
      </c>
      <c r="P94" s="138">
        <f>O94*H94</f>
        <v>0</v>
      </c>
      <c r="Q94" s="138">
        <v>0.15274</v>
      </c>
      <c r="R94" s="138">
        <f>Q94*H94</f>
        <v>0.9101776599999999</v>
      </c>
      <c r="S94" s="138">
        <v>0</v>
      </c>
      <c r="T94" s="139">
        <f>S94*H94</f>
        <v>0</v>
      </c>
      <c r="AR94" s="140" t="s">
        <v>185</v>
      </c>
      <c r="AT94" s="140" t="s">
        <v>180</v>
      </c>
      <c r="AU94" s="140" t="s">
        <v>87</v>
      </c>
      <c r="AY94" s="18" t="s">
        <v>177</v>
      </c>
      <c r="BE94" s="141">
        <f>IF(N94="základní",J94,0)</f>
        <v>0</v>
      </c>
      <c r="BF94" s="141">
        <f>IF(N94="snížená",J94,0)</f>
        <v>0</v>
      </c>
      <c r="BG94" s="141">
        <f>IF(N94="zákl. přenesená",J94,0)</f>
        <v>0</v>
      </c>
      <c r="BH94" s="141">
        <f>IF(N94="sníž. přenesená",J94,0)</f>
        <v>0</v>
      </c>
      <c r="BI94" s="141">
        <f>IF(N94="nulová",J94,0)</f>
        <v>0</v>
      </c>
      <c r="BJ94" s="18" t="s">
        <v>85</v>
      </c>
      <c r="BK94" s="141">
        <f>ROUND(I94*H94,2)</f>
        <v>0</v>
      </c>
      <c r="BL94" s="18" t="s">
        <v>185</v>
      </c>
      <c r="BM94" s="140" t="s">
        <v>1341</v>
      </c>
    </row>
    <row r="95" spans="2:47" s="1" customFormat="1" ht="29.25">
      <c r="B95" s="33"/>
      <c r="D95" s="142" t="s">
        <v>187</v>
      </c>
      <c r="F95" s="143" t="s">
        <v>571</v>
      </c>
      <c r="I95" s="144"/>
      <c r="L95" s="33"/>
      <c r="M95" s="145"/>
      <c r="T95" s="54"/>
      <c r="AT95" s="18" t="s">
        <v>187</v>
      </c>
      <c r="AU95" s="18" t="s">
        <v>87</v>
      </c>
    </row>
    <row r="96" spans="2:47" s="1" customFormat="1" ht="11.25">
      <c r="B96" s="33"/>
      <c r="D96" s="146" t="s">
        <v>189</v>
      </c>
      <c r="F96" s="147" t="s">
        <v>572</v>
      </c>
      <c r="I96" s="144"/>
      <c r="L96" s="33"/>
      <c r="M96" s="145"/>
      <c r="T96" s="54"/>
      <c r="AT96" s="18" t="s">
        <v>189</v>
      </c>
      <c r="AU96" s="18" t="s">
        <v>87</v>
      </c>
    </row>
    <row r="97" spans="2:51" s="13" customFormat="1" ht="11.25">
      <c r="B97" s="156"/>
      <c r="D97" s="142" t="s">
        <v>193</v>
      </c>
      <c r="E97" s="157" t="s">
        <v>3</v>
      </c>
      <c r="F97" s="158" t="s">
        <v>1342</v>
      </c>
      <c r="H97" s="157" t="s">
        <v>3</v>
      </c>
      <c r="I97" s="159"/>
      <c r="L97" s="156"/>
      <c r="M97" s="160"/>
      <c r="T97" s="161"/>
      <c r="AT97" s="157" t="s">
        <v>193</v>
      </c>
      <c r="AU97" s="157" t="s">
        <v>87</v>
      </c>
      <c r="AV97" s="13" t="s">
        <v>85</v>
      </c>
      <c r="AW97" s="13" t="s">
        <v>36</v>
      </c>
      <c r="AX97" s="13" t="s">
        <v>77</v>
      </c>
      <c r="AY97" s="157" t="s">
        <v>177</v>
      </c>
    </row>
    <row r="98" spans="2:51" s="12" customFormat="1" ht="11.25">
      <c r="B98" s="149"/>
      <c r="D98" s="142" t="s">
        <v>193</v>
      </c>
      <c r="E98" s="150" t="s">
        <v>3</v>
      </c>
      <c r="F98" s="151" t="s">
        <v>1343</v>
      </c>
      <c r="H98" s="152">
        <v>5.959</v>
      </c>
      <c r="I98" s="153"/>
      <c r="L98" s="149"/>
      <c r="M98" s="154"/>
      <c r="T98" s="155"/>
      <c r="AT98" s="150" t="s">
        <v>193</v>
      </c>
      <c r="AU98" s="150" t="s">
        <v>87</v>
      </c>
      <c r="AV98" s="12" t="s">
        <v>87</v>
      </c>
      <c r="AW98" s="12" t="s">
        <v>36</v>
      </c>
      <c r="AX98" s="12" t="s">
        <v>77</v>
      </c>
      <c r="AY98" s="150" t="s">
        <v>177</v>
      </c>
    </row>
    <row r="99" spans="2:51" s="15" customFormat="1" ht="11.25">
      <c r="B99" s="169"/>
      <c r="D99" s="142" t="s">
        <v>193</v>
      </c>
      <c r="E99" s="170" t="s">
        <v>3</v>
      </c>
      <c r="F99" s="171" t="s">
        <v>201</v>
      </c>
      <c r="H99" s="172">
        <v>5.959</v>
      </c>
      <c r="I99" s="173"/>
      <c r="L99" s="169"/>
      <c r="M99" s="174"/>
      <c r="T99" s="175"/>
      <c r="AT99" s="170" t="s">
        <v>193</v>
      </c>
      <c r="AU99" s="170" t="s">
        <v>87</v>
      </c>
      <c r="AV99" s="15" t="s">
        <v>185</v>
      </c>
      <c r="AW99" s="15" t="s">
        <v>36</v>
      </c>
      <c r="AX99" s="15" t="s">
        <v>85</v>
      </c>
      <c r="AY99" s="170" t="s">
        <v>177</v>
      </c>
    </row>
    <row r="100" spans="2:63" s="11" customFormat="1" ht="22.9" customHeight="1">
      <c r="B100" s="116"/>
      <c r="D100" s="117" t="s">
        <v>76</v>
      </c>
      <c r="E100" s="126" t="s">
        <v>233</v>
      </c>
      <c r="F100" s="126" t="s">
        <v>625</v>
      </c>
      <c r="I100" s="119"/>
      <c r="J100" s="127">
        <f>BK100</f>
        <v>0</v>
      </c>
      <c r="L100" s="116"/>
      <c r="M100" s="121"/>
      <c r="P100" s="122">
        <f>SUM(P101:P126)</f>
        <v>0</v>
      </c>
      <c r="R100" s="122">
        <f>SUM(R101:R126)</f>
        <v>25.694660998399996</v>
      </c>
      <c r="T100" s="123">
        <f>SUM(T101:T126)</f>
        <v>0</v>
      </c>
      <c r="AR100" s="117" t="s">
        <v>85</v>
      </c>
      <c r="AT100" s="124" t="s">
        <v>76</v>
      </c>
      <c r="AU100" s="124" t="s">
        <v>85</v>
      </c>
      <c r="AY100" s="117" t="s">
        <v>177</v>
      </c>
      <c r="BK100" s="125">
        <f>SUM(BK101:BK126)</f>
        <v>0</v>
      </c>
    </row>
    <row r="101" spans="2:65" s="1" customFormat="1" ht="24.2" customHeight="1">
      <c r="B101" s="128"/>
      <c r="C101" s="129" t="s">
        <v>87</v>
      </c>
      <c r="D101" s="129" t="s">
        <v>180</v>
      </c>
      <c r="E101" s="130" t="s">
        <v>1344</v>
      </c>
      <c r="F101" s="131" t="s">
        <v>1345</v>
      </c>
      <c r="G101" s="132" t="s">
        <v>806</v>
      </c>
      <c r="H101" s="133">
        <v>49.876</v>
      </c>
      <c r="I101" s="134"/>
      <c r="J101" s="135">
        <f>ROUND(I101*H101,2)</f>
        <v>0</v>
      </c>
      <c r="K101" s="131" t="s">
        <v>184</v>
      </c>
      <c r="L101" s="33"/>
      <c r="M101" s="136" t="s">
        <v>3</v>
      </c>
      <c r="N101" s="137" t="s">
        <v>48</v>
      </c>
      <c r="P101" s="138">
        <f>O101*H101</f>
        <v>0</v>
      </c>
      <c r="Q101" s="138">
        <v>0</v>
      </c>
      <c r="R101" s="138">
        <f>Q101*H101</f>
        <v>0</v>
      </c>
      <c r="S101" s="138">
        <v>0</v>
      </c>
      <c r="T101" s="139">
        <f>S101*H101</f>
        <v>0</v>
      </c>
      <c r="AR101" s="140" t="s">
        <v>185</v>
      </c>
      <c r="AT101" s="140" t="s">
        <v>180</v>
      </c>
      <c r="AU101" s="140" t="s">
        <v>87</v>
      </c>
      <c r="AY101" s="18" t="s">
        <v>177</v>
      </c>
      <c r="BE101" s="141">
        <f>IF(N101="základní",J101,0)</f>
        <v>0</v>
      </c>
      <c r="BF101" s="141">
        <f>IF(N101="snížená",J101,0)</f>
        <v>0</v>
      </c>
      <c r="BG101" s="141">
        <f>IF(N101="zákl. přenesená",J101,0)</f>
        <v>0</v>
      </c>
      <c r="BH101" s="141">
        <f>IF(N101="sníž. přenesená",J101,0)</f>
        <v>0</v>
      </c>
      <c r="BI101" s="141">
        <f>IF(N101="nulová",J101,0)</f>
        <v>0</v>
      </c>
      <c r="BJ101" s="18" t="s">
        <v>85</v>
      </c>
      <c r="BK101" s="141">
        <f>ROUND(I101*H101,2)</f>
        <v>0</v>
      </c>
      <c r="BL101" s="18" t="s">
        <v>185</v>
      </c>
      <c r="BM101" s="140" t="s">
        <v>1346</v>
      </c>
    </row>
    <row r="102" spans="2:47" s="1" customFormat="1" ht="19.5">
      <c r="B102" s="33"/>
      <c r="D102" s="142" t="s">
        <v>187</v>
      </c>
      <c r="F102" s="143" t="s">
        <v>1347</v>
      </c>
      <c r="I102" s="144"/>
      <c r="L102" s="33"/>
      <c r="M102" s="145"/>
      <c r="T102" s="54"/>
      <c r="AT102" s="18" t="s">
        <v>187</v>
      </c>
      <c r="AU102" s="18" t="s">
        <v>87</v>
      </c>
    </row>
    <row r="103" spans="2:47" s="1" customFormat="1" ht="11.25">
      <c r="B103" s="33"/>
      <c r="D103" s="146" t="s">
        <v>189</v>
      </c>
      <c r="F103" s="147" t="s">
        <v>1348</v>
      </c>
      <c r="I103" s="144"/>
      <c r="L103" s="33"/>
      <c r="M103" s="145"/>
      <c r="T103" s="54"/>
      <c r="AT103" s="18" t="s">
        <v>189</v>
      </c>
      <c r="AU103" s="18" t="s">
        <v>87</v>
      </c>
    </row>
    <row r="104" spans="2:47" s="1" customFormat="1" ht="87.75">
      <c r="B104" s="33"/>
      <c r="D104" s="142" t="s">
        <v>191</v>
      </c>
      <c r="F104" s="148" t="s">
        <v>1349</v>
      </c>
      <c r="I104" s="144"/>
      <c r="L104" s="33"/>
      <c r="M104" s="145"/>
      <c r="T104" s="54"/>
      <c r="AT104" s="18" t="s">
        <v>191</v>
      </c>
      <c r="AU104" s="18" t="s">
        <v>87</v>
      </c>
    </row>
    <row r="105" spans="2:65" s="1" customFormat="1" ht="24.2" customHeight="1">
      <c r="B105" s="128"/>
      <c r="C105" s="129" t="s">
        <v>198</v>
      </c>
      <c r="D105" s="129" t="s">
        <v>180</v>
      </c>
      <c r="E105" s="130" t="s">
        <v>1350</v>
      </c>
      <c r="F105" s="131" t="s">
        <v>1351</v>
      </c>
      <c r="G105" s="132" t="s">
        <v>806</v>
      </c>
      <c r="H105" s="133">
        <v>49.876</v>
      </c>
      <c r="I105" s="134"/>
      <c r="J105" s="135">
        <f>ROUND(I105*H105,2)</f>
        <v>0</v>
      </c>
      <c r="K105" s="131" t="s">
        <v>184</v>
      </c>
      <c r="L105" s="33"/>
      <c r="M105" s="136" t="s">
        <v>3</v>
      </c>
      <c r="N105" s="137" t="s">
        <v>48</v>
      </c>
      <c r="P105" s="138">
        <f>O105*H105</f>
        <v>0</v>
      </c>
      <c r="Q105" s="138">
        <v>0</v>
      </c>
      <c r="R105" s="138">
        <f>Q105*H105</f>
        <v>0</v>
      </c>
      <c r="S105" s="138">
        <v>0</v>
      </c>
      <c r="T105" s="139">
        <f>S105*H105</f>
        <v>0</v>
      </c>
      <c r="AR105" s="140" t="s">
        <v>185</v>
      </c>
      <c r="AT105" s="140" t="s">
        <v>180</v>
      </c>
      <c r="AU105" s="140" t="s">
        <v>87</v>
      </c>
      <c r="AY105" s="18" t="s">
        <v>177</v>
      </c>
      <c r="BE105" s="141">
        <f>IF(N105="základní",J105,0)</f>
        <v>0</v>
      </c>
      <c r="BF105" s="141">
        <f>IF(N105="snížená",J105,0)</f>
        <v>0</v>
      </c>
      <c r="BG105" s="141">
        <f>IF(N105="zákl. přenesená",J105,0)</f>
        <v>0</v>
      </c>
      <c r="BH105" s="141">
        <f>IF(N105="sníž. přenesená",J105,0)</f>
        <v>0</v>
      </c>
      <c r="BI105" s="141">
        <f>IF(N105="nulová",J105,0)</f>
        <v>0</v>
      </c>
      <c r="BJ105" s="18" t="s">
        <v>85</v>
      </c>
      <c r="BK105" s="141">
        <f>ROUND(I105*H105,2)</f>
        <v>0</v>
      </c>
      <c r="BL105" s="18" t="s">
        <v>185</v>
      </c>
      <c r="BM105" s="140" t="s">
        <v>1352</v>
      </c>
    </row>
    <row r="106" spans="2:47" s="1" customFormat="1" ht="19.5">
      <c r="B106" s="33"/>
      <c r="D106" s="142" t="s">
        <v>187</v>
      </c>
      <c r="F106" s="143" t="s">
        <v>1353</v>
      </c>
      <c r="I106" s="144"/>
      <c r="L106" s="33"/>
      <c r="M106" s="145"/>
      <c r="T106" s="54"/>
      <c r="AT106" s="18" t="s">
        <v>187</v>
      </c>
      <c r="AU106" s="18" t="s">
        <v>87</v>
      </c>
    </row>
    <row r="107" spans="2:47" s="1" customFormat="1" ht="11.25">
      <c r="B107" s="33"/>
      <c r="D107" s="146" t="s">
        <v>189</v>
      </c>
      <c r="F107" s="147" t="s">
        <v>1354</v>
      </c>
      <c r="I107" s="144"/>
      <c r="L107" s="33"/>
      <c r="M107" s="145"/>
      <c r="T107" s="54"/>
      <c r="AT107" s="18" t="s">
        <v>189</v>
      </c>
      <c r="AU107" s="18" t="s">
        <v>87</v>
      </c>
    </row>
    <row r="108" spans="2:47" s="1" customFormat="1" ht="87.75">
      <c r="B108" s="33"/>
      <c r="D108" s="142" t="s">
        <v>191</v>
      </c>
      <c r="F108" s="148" t="s">
        <v>1349</v>
      </c>
      <c r="I108" s="144"/>
      <c r="L108" s="33"/>
      <c r="M108" s="145"/>
      <c r="T108" s="54"/>
      <c r="AT108" s="18" t="s">
        <v>191</v>
      </c>
      <c r="AU108" s="18" t="s">
        <v>87</v>
      </c>
    </row>
    <row r="109" spans="2:65" s="1" customFormat="1" ht="33" customHeight="1">
      <c r="B109" s="128"/>
      <c r="C109" s="129" t="s">
        <v>185</v>
      </c>
      <c r="D109" s="129" t="s">
        <v>180</v>
      </c>
      <c r="E109" s="130" t="s">
        <v>1355</v>
      </c>
      <c r="F109" s="131" t="s">
        <v>1356</v>
      </c>
      <c r="G109" s="132" t="s">
        <v>806</v>
      </c>
      <c r="H109" s="133">
        <v>49.876</v>
      </c>
      <c r="I109" s="134"/>
      <c r="J109" s="135">
        <f>ROUND(I109*H109,2)</f>
        <v>0</v>
      </c>
      <c r="K109" s="131" t="s">
        <v>184</v>
      </c>
      <c r="L109" s="33"/>
      <c r="M109" s="136" t="s">
        <v>3</v>
      </c>
      <c r="N109" s="137" t="s">
        <v>48</v>
      </c>
      <c r="P109" s="138">
        <f>O109*H109</f>
        <v>0</v>
      </c>
      <c r="Q109" s="138">
        <v>0.515</v>
      </c>
      <c r="R109" s="138">
        <f>Q109*H109</f>
        <v>25.686139999999998</v>
      </c>
      <c r="S109" s="138">
        <v>0</v>
      </c>
      <c r="T109" s="139">
        <f>S109*H109</f>
        <v>0</v>
      </c>
      <c r="AR109" s="140" t="s">
        <v>185</v>
      </c>
      <c r="AT109" s="140" t="s">
        <v>180</v>
      </c>
      <c r="AU109" s="140" t="s">
        <v>87</v>
      </c>
      <c r="AY109" s="18" t="s">
        <v>177</v>
      </c>
      <c r="BE109" s="141">
        <f>IF(N109="základní",J109,0)</f>
        <v>0</v>
      </c>
      <c r="BF109" s="141">
        <f>IF(N109="snížená",J109,0)</f>
        <v>0</v>
      </c>
      <c r="BG109" s="141">
        <f>IF(N109="zákl. přenesená",J109,0)</f>
        <v>0</v>
      </c>
      <c r="BH109" s="141">
        <f>IF(N109="sníž. přenesená",J109,0)</f>
        <v>0</v>
      </c>
      <c r="BI109" s="141">
        <f>IF(N109="nulová",J109,0)</f>
        <v>0</v>
      </c>
      <c r="BJ109" s="18" t="s">
        <v>85</v>
      </c>
      <c r="BK109" s="141">
        <f>ROUND(I109*H109,2)</f>
        <v>0</v>
      </c>
      <c r="BL109" s="18" t="s">
        <v>185</v>
      </c>
      <c r="BM109" s="140" t="s">
        <v>1357</v>
      </c>
    </row>
    <row r="110" spans="2:47" s="1" customFormat="1" ht="19.5">
      <c r="B110" s="33"/>
      <c r="D110" s="142" t="s">
        <v>187</v>
      </c>
      <c r="F110" s="143" t="s">
        <v>1358</v>
      </c>
      <c r="I110" s="144"/>
      <c r="L110" s="33"/>
      <c r="M110" s="145"/>
      <c r="T110" s="54"/>
      <c r="AT110" s="18" t="s">
        <v>187</v>
      </c>
      <c r="AU110" s="18" t="s">
        <v>87</v>
      </c>
    </row>
    <row r="111" spans="2:47" s="1" customFormat="1" ht="11.25">
      <c r="B111" s="33"/>
      <c r="D111" s="146" t="s">
        <v>189</v>
      </c>
      <c r="F111" s="147" t="s">
        <v>1359</v>
      </c>
      <c r="I111" s="144"/>
      <c r="L111" s="33"/>
      <c r="M111" s="145"/>
      <c r="T111" s="54"/>
      <c r="AT111" s="18" t="s">
        <v>189</v>
      </c>
      <c r="AU111" s="18" t="s">
        <v>87</v>
      </c>
    </row>
    <row r="112" spans="2:47" s="1" customFormat="1" ht="39">
      <c r="B112" s="33"/>
      <c r="D112" s="142" t="s">
        <v>191</v>
      </c>
      <c r="F112" s="148" t="s">
        <v>1360</v>
      </c>
      <c r="I112" s="144"/>
      <c r="L112" s="33"/>
      <c r="M112" s="145"/>
      <c r="T112" s="54"/>
      <c r="AT112" s="18" t="s">
        <v>191</v>
      </c>
      <c r="AU112" s="18" t="s">
        <v>87</v>
      </c>
    </row>
    <row r="113" spans="2:51" s="13" customFormat="1" ht="22.5">
      <c r="B113" s="156"/>
      <c r="D113" s="142" t="s">
        <v>193</v>
      </c>
      <c r="E113" s="157" t="s">
        <v>3</v>
      </c>
      <c r="F113" s="158" t="s">
        <v>1361</v>
      </c>
      <c r="H113" s="157" t="s">
        <v>3</v>
      </c>
      <c r="I113" s="159"/>
      <c r="L113" s="156"/>
      <c r="M113" s="160"/>
      <c r="T113" s="161"/>
      <c r="AT113" s="157" t="s">
        <v>193</v>
      </c>
      <c r="AU113" s="157" t="s">
        <v>87</v>
      </c>
      <c r="AV113" s="13" t="s">
        <v>85</v>
      </c>
      <c r="AW113" s="13" t="s">
        <v>36</v>
      </c>
      <c r="AX113" s="13" t="s">
        <v>77</v>
      </c>
      <c r="AY113" s="157" t="s">
        <v>177</v>
      </c>
    </row>
    <row r="114" spans="2:51" s="13" customFormat="1" ht="11.25">
      <c r="B114" s="156"/>
      <c r="D114" s="142" t="s">
        <v>193</v>
      </c>
      <c r="E114" s="157" t="s">
        <v>3</v>
      </c>
      <c r="F114" s="158" t="s">
        <v>1362</v>
      </c>
      <c r="H114" s="157" t="s">
        <v>3</v>
      </c>
      <c r="I114" s="159"/>
      <c r="L114" s="156"/>
      <c r="M114" s="160"/>
      <c r="T114" s="161"/>
      <c r="AT114" s="157" t="s">
        <v>193</v>
      </c>
      <c r="AU114" s="157" t="s">
        <v>87</v>
      </c>
      <c r="AV114" s="13" t="s">
        <v>85</v>
      </c>
      <c r="AW114" s="13" t="s">
        <v>36</v>
      </c>
      <c r="AX114" s="13" t="s">
        <v>77</v>
      </c>
      <c r="AY114" s="157" t="s">
        <v>177</v>
      </c>
    </row>
    <row r="115" spans="2:51" s="12" customFormat="1" ht="11.25">
      <c r="B115" s="149"/>
      <c r="D115" s="142" t="s">
        <v>193</v>
      </c>
      <c r="E115" s="150" t="s">
        <v>3</v>
      </c>
      <c r="F115" s="151" t="s">
        <v>1363</v>
      </c>
      <c r="H115" s="152">
        <v>49.876</v>
      </c>
      <c r="I115" s="153"/>
      <c r="L115" s="149"/>
      <c r="M115" s="154"/>
      <c r="T115" s="155"/>
      <c r="AT115" s="150" t="s">
        <v>193</v>
      </c>
      <c r="AU115" s="150" t="s">
        <v>87</v>
      </c>
      <c r="AV115" s="12" t="s">
        <v>87</v>
      </c>
      <c r="AW115" s="12" t="s">
        <v>36</v>
      </c>
      <c r="AX115" s="12" t="s">
        <v>85</v>
      </c>
      <c r="AY115" s="150" t="s">
        <v>177</v>
      </c>
    </row>
    <row r="116" spans="2:65" s="1" customFormat="1" ht="24.2" customHeight="1">
      <c r="B116" s="128"/>
      <c r="C116" s="129" t="s">
        <v>200</v>
      </c>
      <c r="D116" s="129" t="s">
        <v>180</v>
      </c>
      <c r="E116" s="130" t="s">
        <v>1364</v>
      </c>
      <c r="F116" s="131" t="s">
        <v>1365</v>
      </c>
      <c r="G116" s="132" t="s">
        <v>476</v>
      </c>
      <c r="H116" s="133">
        <v>103.36</v>
      </c>
      <c r="I116" s="134"/>
      <c r="J116" s="135">
        <f>ROUND(I116*H116,2)</f>
        <v>0</v>
      </c>
      <c r="K116" s="131" t="s">
        <v>184</v>
      </c>
      <c r="L116" s="33"/>
      <c r="M116" s="136" t="s">
        <v>3</v>
      </c>
      <c r="N116" s="137" t="s">
        <v>48</v>
      </c>
      <c r="P116" s="138">
        <f>O116*H116</f>
        <v>0</v>
      </c>
      <c r="Q116" s="138">
        <v>8.014E-05</v>
      </c>
      <c r="R116" s="138">
        <f>Q116*H116</f>
        <v>0.0082832704</v>
      </c>
      <c r="S116" s="138">
        <v>0</v>
      </c>
      <c r="T116" s="139">
        <f>S116*H116</f>
        <v>0</v>
      </c>
      <c r="AR116" s="140" t="s">
        <v>185</v>
      </c>
      <c r="AT116" s="140" t="s">
        <v>180</v>
      </c>
      <c r="AU116" s="140" t="s">
        <v>87</v>
      </c>
      <c r="AY116" s="18" t="s">
        <v>177</v>
      </c>
      <c r="BE116" s="141">
        <f>IF(N116="základní",J116,0)</f>
        <v>0</v>
      </c>
      <c r="BF116" s="141">
        <f>IF(N116="snížená",J116,0)</f>
        <v>0</v>
      </c>
      <c r="BG116" s="141">
        <f>IF(N116="zákl. přenesená",J116,0)</f>
        <v>0</v>
      </c>
      <c r="BH116" s="141">
        <f>IF(N116="sníž. přenesená",J116,0)</f>
        <v>0</v>
      </c>
      <c r="BI116" s="141">
        <f>IF(N116="nulová",J116,0)</f>
        <v>0</v>
      </c>
      <c r="BJ116" s="18" t="s">
        <v>85</v>
      </c>
      <c r="BK116" s="141">
        <f>ROUND(I116*H116,2)</f>
        <v>0</v>
      </c>
      <c r="BL116" s="18" t="s">
        <v>185</v>
      </c>
      <c r="BM116" s="140" t="s">
        <v>1366</v>
      </c>
    </row>
    <row r="117" spans="2:47" s="1" customFormat="1" ht="19.5">
      <c r="B117" s="33"/>
      <c r="D117" s="142" t="s">
        <v>187</v>
      </c>
      <c r="F117" s="143" t="s">
        <v>1367</v>
      </c>
      <c r="I117" s="144"/>
      <c r="L117" s="33"/>
      <c r="M117" s="145"/>
      <c r="T117" s="54"/>
      <c r="AT117" s="18" t="s">
        <v>187</v>
      </c>
      <c r="AU117" s="18" t="s">
        <v>87</v>
      </c>
    </row>
    <row r="118" spans="2:47" s="1" customFormat="1" ht="11.25">
      <c r="B118" s="33"/>
      <c r="D118" s="146" t="s">
        <v>189</v>
      </c>
      <c r="F118" s="147" t="s">
        <v>1368</v>
      </c>
      <c r="I118" s="144"/>
      <c r="L118" s="33"/>
      <c r="M118" s="145"/>
      <c r="T118" s="54"/>
      <c r="AT118" s="18" t="s">
        <v>189</v>
      </c>
      <c r="AU118" s="18" t="s">
        <v>87</v>
      </c>
    </row>
    <row r="119" spans="2:47" s="1" customFormat="1" ht="58.5">
      <c r="B119" s="33"/>
      <c r="D119" s="142" t="s">
        <v>191</v>
      </c>
      <c r="F119" s="148" t="s">
        <v>1369</v>
      </c>
      <c r="I119" s="144"/>
      <c r="L119" s="33"/>
      <c r="M119" s="145"/>
      <c r="T119" s="54"/>
      <c r="AT119" s="18" t="s">
        <v>191</v>
      </c>
      <c r="AU119" s="18" t="s">
        <v>87</v>
      </c>
    </row>
    <row r="120" spans="2:65" s="1" customFormat="1" ht="24.2" customHeight="1">
      <c r="B120" s="128"/>
      <c r="C120" s="129" t="s">
        <v>233</v>
      </c>
      <c r="D120" s="129" t="s">
        <v>180</v>
      </c>
      <c r="E120" s="130" t="s">
        <v>1370</v>
      </c>
      <c r="F120" s="131" t="s">
        <v>1371</v>
      </c>
      <c r="G120" s="132" t="s">
        <v>476</v>
      </c>
      <c r="H120" s="133">
        <v>103.36</v>
      </c>
      <c r="I120" s="134"/>
      <c r="J120" s="135">
        <f>ROUND(I120*H120,2)</f>
        <v>0</v>
      </c>
      <c r="K120" s="131" t="s">
        <v>184</v>
      </c>
      <c r="L120" s="33"/>
      <c r="M120" s="136" t="s">
        <v>3</v>
      </c>
      <c r="N120" s="137" t="s">
        <v>48</v>
      </c>
      <c r="P120" s="138">
        <f>O120*H120</f>
        <v>0</v>
      </c>
      <c r="Q120" s="138">
        <v>2.3E-06</v>
      </c>
      <c r="R120" s="138">
        <f>Q120*H120</f>
        <v>0.000237728</v>
      </c>
      <c r="S120" s="138">
        <v>0</v>
      </c>
      <c r="T120" s="139">
        <f>S120*H120</f>
        <v>0</v>
      </c>
      <c r="AR120" s="140" t="s">
        <v>185</v>
      </c>
      <c r="AT120" s="140" t="s">
        <v>180</v>
      </c>
      <c r="AU120" s="140" t="s">
        <v>87</v>
      </c>
      <c r="AY120" s="18" t="s">
        <v>177</v>
      </c>
      <c r="BE120" s="141">
        <f>IF(N120="základní",J120,0)</f>
        <v>0</v>
      </c>
      <c r="BF120" s="141">
        <f>IF(N120="snížená",J120,0)</f>
        <v>0</v>
      </c>
      <c r="BG120" s="141">
        <f>IF(N120="zákl. přenesená",J120,0)</f>
        <v>0</v>
      </c>
      <c r="BH120" s="141">
        <f>IF(N120="sníž. přenesená",J120,0)</f>
        <v>0</v>
      </c>
      <c r="BI120" s="141">
        <f>IF(N120="nulová",J120,0)</f>
        <v>0</v>
      </c>
      <c r="BJ120" s="18" t="s">
        <v>85</v>
      </c>
      <c r="BK120" s="141">
        <f>ROUND(I120*H120,2)</f>
        <v>0</v>
      </c>
      <c r="BL120" s="18" t="s">
        <v>185</v>
      </c>
      <c r="BM120" s="140" t="s">
        <v>1372</v>
      </c>
    </row>
    <row r="121" spans="2:47" s="1" customFormat="1" ht="19.5">
      <c r="B121" s="33"/>
      <c r="D121" s="142" t="s">
        <v>187</v>
      </c>
      <c r="F121" s="143" t="s">
        <v>1373</v>
      </c>
      <c r="I121" s="144"/>
      <c r="L121" s="33"/>
      <c r="M121" s="145"/>
      <c r="T121" s="54"/>
      <c r="AT121" s="18" t="s">
        <v>187</v>
      </c>
      <c r="AU121" s="18" t="s">
        <v>87</v>
      </c>
    </row>
    <row r="122" spans="2:47" s="1" customFormat="1" ht="11.25">
      <c r="B122" s="33"/>
      <c r="D122" s="146" t="s">
        <v>189</v>
      </c>
      <c r="F122" s="147" t="s">
        <v>1374</v>
      </c>
      <c r="I122" s="144"/>
      <c r="L122" s="33"/>
      <c r="M122" s="145"/>
      <c r="T122" s="54"/>
      <c r="AT122" s="18" t="s">
        <v>189</v>
      </c>
      <c r="AU122" s="18" t="s">
        <v>87</v>
      </c>
    </row>
    <row r="123" spans="2:47" s="1" customFormat="1" ht="29.25">
      <c r="B123" s="33"/>
      <c r="D123" s="142" t="s">
        <v>191</v>
      </c>
      <c r="F123" s="148" t="s">
        <v>1375</v>
      </c>
      <c r="I123" s="144"/>
      <c r="L123" s="33"/>
      <c r="M123" s="145"/>
      <c r="T123" s="54"/>
      <c r="AT123" s="18" t="s">
        <v>191</v>
      </c>
      <c r="AU123" s="18" t="s">
        <v>87</v>
      </c>
    </row>
    <row r="124" spans="2:51" s="12" customFormat="1" ht="11.25">
      <c r="B124" s="149"/>
      <c r="D124" s="142" t="s">
        <v>193</v>
      </c>
      <c r="E124" s="150" t="s">
        <v>3</v>
      </c>
      <c r="F124" s="151" t="s">
        <v>1376</v>
      </c>
      <c r="H124" s="152">
        <v>103.36</v>
      </c>
      <c r="I124" s="153"/>
      <c r="L124" s="149"/>
      <c r="M124" s="154"/>
      <c r="T124" s="155"/>
      <c r="AT124" s="150" t="s">
        <v>193</v>
      </c>
      <c r="AU124" s="150" t="s">
        <v>87</v>
      </c>
      <c r="AV124" s="12" t="s">
        <v>87</v>
      </c>
      <c r="AW124" s="12" t="s">
        <v>36</v>
      </c>
      <c r="AX124" s="12" t="s">
        <v>85</v>
      </c>
      <c r="AY124" s="150" t="s">
        <v>177</v>
      </c>
    </row>
    <row r="125" spans="2:65" s="1" customFormat="1" ht="16.5" customHeight="1">
      <c r="B125" s="128"/>
      <c r="C125" s="129" t="s">
        <v>241</v>
      </c>
      <c r="D125" s="129" t="s">
        <v>180</v>
      </c>
      <c r="E125" s="130" t="s">
        <v>1377</v>
      </c>
      <c r="F125" s="131" t="s">
        <v>1378</v>
      </c>
      <c r="G125" s="132" t="s">
        <v>305</v>
      </c>
      <c r="H125" s="133">
        <v>30</v>
      </c>
      <c r="I125" s="134"/>
      <c r="J125" s="135">
        <f>ROUND(I125*H125,2)</f>
        <v>0</v>
      </c>
      <c r="K125" s="131" t="s">
        <v>244</v>
      </c>
      <c r="L125" s="33"/>
      <c r="M125" s="136" t="s">
        <v>3</v>
      </c>
      <c r="N125" s="137" t="s">
        <v>48</v>
      </c>
      <c r="P125" s="138">
        <f>O125*H125</f>
        <v>0</v>
      </c>
      <c r="Q125" s="138">
        <v>0</v>
      </c>
      <c r="R125" s="138">
        <f>Q125*H125</f>
        <v>0</v>
      </c>
      <c r="S125" s="138">
        <v>0</v>
      </c>
      <c r="T125" s="139">
        <f>S125*H125</f>
        <v>0</v>
      </c>
      <c r="AR125" s="140" t="s">
        <v>185</v>
      </c>
      <c r="AT125" s="140" t="s">
        <v>180</v>
      </c>
      <c r="AU125" s="140" t="s">
        <v>87</v>
      </c>
      <c r="AY125" s="18" t="s">
        <v>177</v>
      </c>
      <c r="BE125" s="141">
        <f>IF(N125="základní",J125,0)</f>
        <v>0</v>
      </c>
      <c r="BF125" s="141">
        <f>IF(N125="snížená",J125,0)</f>
        <v>0</v>
      </c>
      <c r="BG125" s="141">
        <f>IF(N125="zákl. přenesená",J125,0)</f>
        <v>0</v>
      </c>
      <c r="BH125" s="141">
        <f>IF(N125="sníž. přenesená",J125,0)</f>
        <v>0</v>
      </c>
      <c r="BI125" s="141">
        <f>IF(N125="nulová",J125,0)</f>
        <v>0</v>
      </c>
      <c r="BJ125" s="18" t="s">
        <v>85</v>
      </c>
      <c r="BK125" s="141">
        <f>ROUND(I125*H125,2)</f>
        <v>0</v>
      </c>
      <c r="BL125" s="18" t="s">
        <v>185</v>
      </c>
      <c r="BM125" s="140" t="s">
        <v>1379</v>
      </c>
    </row>
    <row r="126" spans="2:47" s="1" customFormat="1" ht="11.25">
      <c r="B126" s="33"/>
      <c r="D126" s="142" t="s">
        <v>187</v>
      </c>
      <c r="F126" s="143" t="s">
        <v>1378</v>
      </c>
      <c r="I126" s="144"/>
      <c r="L126" s="33"/>
      <c r="M126" s="145"/>
      <c r="T126" s="54"/>
      <c r="AT126" s="18" t="s">
        <v>187</v>
      </c>
      <c r="AU126" s="18" t="s">
        <v>87</v>
      </c>
    </row>
    <row r="127" spans="2:63" s="11" customFormat="1" ht="22.9" customHeight="1">
      <c r="B127" s="116"/>
      <c r="D127" s="117" t="s">
        <v>76</v>
      </c>
      <c r="E127" s="126" t="s">
        <v>252</v>
      </c>
      <c r="F127" s="126" t="s">
        <v>329</v>
      </c>
      <c r="I127" s="119"/>
      <c r="J127" s="127">
        <f>BK127</f>
        <v>0</v>
      </c>
      <c r="L127" s="116"/>
      <c r="M127" s="121"/>
      <c r="P127" s="122">
        <f>SUM(P128:P165)</f>
        <v>0</v>
      </c>
      <c r="R127" s="122">
        <f>SUM(R128:R165)</f>
        <v>0.021634555999999996</v>
      </c>
      <c r="T127" s="123">
        <f>SUM(T128:T165)</f>
        <v>0.02375</v>
      </c>
      <c r="AR127" s="117" t="s">
        <v>85</v>
      </c>
      <c r="AT127" s="124" t="s">
        <v>76</v>
      </c>
      <c r="AU127" s="124" t="s">
        <v>85</v>
      </c>
      <c r="AY127" s="117" t="s">
        <v>177</v>
      </c>
      <c r="BK127" s="125">
        <f>SUM(BK128:BK165)</f>
        <v>0</v>
      </c>
    </row>
    <row r="128" spans="2:65" s="1" customFormat="1" ht="33" customHeight="1">
      <c r="B128" s="128"/>
      <c r="C128" s="129" t="s">
        <v>248</v>
      </c>
      <c r="D128" s="129" t="s">
        <v>180</v>
      </c>
      <c r="E128" s="130" t="s">
        <v>681</v>
      </c>
      <c r="F128" s="131" t="s">
        <v>682</v>
      </c>
      <c r="G128" s="132" t="s">
        <v>332</v>
      </c>
      <c r="H128" s="133">
        <v>50</v>
      </c>
      <c r="I128" s="134"/>
      <c r="J128" s="135">
        <f>ROUND(I128*H128,2)</f>
        <v>0</v>
      </c>
      <c r="K128" s="131" t="s">
        <v>184</v>
      </c>
      <c r="L128" s="33"/>
      <c r="M128" s="136" t="s">
        <v>3</v>
      </c>
      <c r="N128" s="137" t="s">
        <v>48</v>
      </c>
      <c r="P128" s="138">
        <f>O128*H128</f>
        <v>0</v>
      </c>
      <c r="Q128" s="138">
        <v>0.00013</v>
      </c>
      <c r="R128" s="138">
        <f>Q128*H128</f>
        <v>0.0065</v>
      </c>
      <c r="S128" s="138">
        <v>0</v>
      </c>
      <c r="T128" s="139">
        <f>S128*H128</f>
        <v>0</v>
      </c>
      <c r="AR128" s="140" t="s">
        <v>185</v>
      </c>
      <c r="AT128" s="140" t="s">
        <v>180</v>
      </c>
      <c r="AU128" s="140" t="s">
        <v>87</v>
      </c>
      <c r="AY128" s="18" t="s">
        <v>177</v>
      </c>
      <c r="BE128" s="141">
        <f>IF(N128="základní",J128,0)</f>
        <v>0</v>
      </c>
      <c r="BF128" s="141">
        <f>IF(N128="snížená",J128,0)</f>
        <v>0</v>
      </c>
      <c r="BG128" s="141">
        <f>IF(N128="zákl. přenesená",J128,0)</f>
        <v>0</v>
      </c>
      <c r="BH128" s="141">
        <f>IF(N128="sníž. přenesená",J128,0)</f>
        <v>0</v>
      </c>
      <c r="BI128" s="141">
        <f>IF(N128="nulová",J128,0)</f>
        <v>0</v>
      </c>
      <c r="BJ128" s="18" t="s">
        <v>85</v>
      </c>
      <c r="BK128" s="141">
        <f>ROUND(I128*H128,2)</f>
        <v>0</v>
      </c>
      <c r="BL128" s="18" t="s">
        <v>185</v>
      </c>
      <c r="BM128" s="140" t="s">
        <v>1380</v>
      </c>
    </row>
    <row r="129" spans="2:47" s="1" customFormat="1" ht="19.5">
      <c r="B129" s="33"/>
      <c r="D129" s="142" t="s">
        <v>187</v>
      </c>
      <c r="F129" s="143" t="s">
        <v>684</v>
      </c>
      <c r="I129" s="144"/>
      <c r="L129" s="33"/>
      <c r="M129" s="145"/>
      <c r="T129" s="54"/>
      <c r="AT129" s="18" t="s">
        <v>187</v>
      </c>
      <c r="AU129" s="18" t="s">
        <v>87</v>
      </c>
    </row>
    <row r="130" spans="2:47" s="1" customFormat="1" ht="11.25">
      <c r="B130" s="33"/>
      <c r="D130" s="146" t="s">
        <v>189</v>
      </c>
      <c r="F130" s="147" t="s">
        <v>685</v>
      </c>
      <c r="I130" s="144"/>
      <c r="L130" s="33"/>
      <c r="M130" s="145"/>
      <c r="T130" s="54"/>
      <c r="AT130" s="18" t="s">
        <v>189</v>
      </c>
      <c r="AU130" s="18" t="s">
        <v>87</v>
      </c>
    </row>
    <row r="131" spans="2:47" s="1" customFormat="1" ht="78">
      <c r="B131" s="33"/>
      <c r="D131" s="142" t="s">
        <v>191</v>
      </c>
      <c r="F131" s="148" t="s">
        <v>336</v>
      </c>
      <c r="I131" s="144"/>
      <c r="L131" s="33"/>
      <c r="M131" s="145"/>
      <c r="T131" s="54"/>
      <c r="AT131" s="18" t="s">
        <v>191</v>
      </c>
      <c r="AU131" s="18" t="s">
        <v>87</v>
      </c>
    </row>
    <row r="132" spans="2:51" s="12" customFormat="1" ht="11.25">
      <c r="B132" s="149"/>
      <c r="D132" s="142" t="s">
        <v>193</v>
      </c>
      <c r="E132" s="150" t="s">
        <v>3</v>
      </c>
      <c r="F132" s="151" t="s">
        <v>1164</v>
      </c>
      <c r="H132" s="152">
        <v>50</v>
      </c>
      <c r="I132" s="153"/>
      <c r="L132" s="149"/>
      <c r="M132" s="154"/>
      <c r="T132" s="155"/>
      <c r="AT132" s="150" t="s">
        <v>193</v>
      </c>
      <c r="AU132" s="150" t="s">
        <v>87</v>
      </c>
      <c r="AV132" s="12" t="s">
        <v>87</v>
      </c>
      <c r="AW132" s="12" t="s">
        <v>36</v>
      </c>
      <c r="AX132" s="12" t="s">
        <v>77</v>
      </c>
      <c r="AY132" s="150" t="s">
        <v>177</v>
      </c>
    </row>
    <row r="133" spans="2:51" s="15" customFormat="1" ht="11.25">
      <c r="B133" s="169"/>
      <c r="D133" s="142" t="s">
        <v>193</v>
      </c>
      <c r="E133" s="170" t="s">
        <v>3</v>
      </c>
      <c r="F133" s="171" t="s">
        <v>201</v>
      </c>
      <c r="H133" s="172">
        <v>50</v>
      </c>
      <c r="I133" s="173"/>
      <c r="L133" s="169"/>
      <c r="M133" s="174"/>
      <c r="T133" s="175"/>
      <c r="AT133" s="170" t="s">
        <v>193</v>
      </c>
      <c r="AU133" s="170" t="s">
        <v>87</v>
      </c>
      <c r="AV133" s="15" t="s">
        <v>185</v>
      </c>
      <c r="AW133" s="15" t="s">
        <v>36</v>
      </c>
      <c r="AX133" s="15" t="s">
        <v>85</v>
      </c>
      <c r="AY133" s="170" t="s">
        <v>177</v>
      </c>
    </row>
    <row r="134" spans="2:65" s="1" customFormat="1" ht="24.2" customHeight="1">
      <c r="B134" s="128"/>
      <c r="C134" s="129" t="s">
        <v>252</v>
      </c>
      <c r="D134" s="129" t="s">
        <v>180</v>
      </c>
      <c r="E134" s="130" t="s">
        <v>339</v>
      </c>
      <c r="F134" s="131" t="s">
        <v>340</v>
      </c>
      <c r="G134" s="132" t="s">
        <v>332</v>
      </c>
      <c r="H134" s="133">
        <v>328.8</v>
      </c>
      <c r="I134" s="134"/>
      <c r="J134" s="135">
        <f>ROUND(I134*H134,2)</f>
        <v>0</v>
      </c>
      <c r="K134" s="131" t="s">
        <v>184</v>
      </c>
      <c r="L134" s="33"/>
      <c r="M134" s="136" t="s">
        <v>3</v>
      </c>
      <c r="N134" s="137" t="s">
        <v>48</v>
      </c>
      <c r="P134" s="138">
        <f>O134*H134</f>
        <v>0</v>
      </c>
      <c r="Q134" s="138">
        <v>3.5E-05</v>
      </c>
      <c r="R134" s="138">
        <f>Q134*H134</f>
        <v>0.011508</v>
      </c>
      <c r="S134" s="138">
        <v>0</v>
      </c>
      <c r="T134" s="139">
        <f>S134*H134</f>
        <v>0</v>
      </c>
      <c r="AR134" s="140" t="s">
        <v>185</v>
      </c>
      <c r="AT134" s="140" t="s">
        <v>180</v>
      </c>
      <c r="AU134" s="140" t="s">
        <v>87</v>
      </c>
      <c r="AY134" s="18" t="s">
        <v>177</v>
      </c>
      <c r="BE134" s="141">
        <f>IF(N134="základní",J134,0)</f>
        <v>0</v>
      </c>
      <c r="BF134" s="141">
        <f>IF(N134="snížená",J134,0)</f>
        <v>0</v>
      </c>
      <c r="BG134" s="141">
        <f>IF(N134="zákl. přenesená",J134,0)</f>
        <v>0</v>
      </c>
      <c r="BH134" s="141">
        <f>IF(N134="sníž. přenesená",J134,0)</f>
        <v>0</v>
      </c>
      <c r="BI134" s="141">
        <f>IF(N134="nulová",J134,0)</f>
        <v>0</v>
      </c>
      <c r="BJ134" s="18" t="s">
        <v>85</v>
      </c>
      <c r="BK134" s="141">
        <f>ROUND(I134*H134,2)</f>
        <v>0</v>
      </c>
      <c r="BL134" s="18" t="s">
        <v>185</v>
      </c>
      <c r="BM134" s="140" t="s">
        <v>1381</v>
      </c>
    </row>
    <row r="135" spans="2:47" s="1" customFormat="1" ht="19.5">
      <c r="B135" s="33"/>
      <c r="D135" s="142" t="s">
        <v>187</v>
      </c>
      <c r="F135" s="143" t="s">
        <v>342</v>
      </c>
      <c r="I135" s="144"/>
      <c r="L135" s="33"/>
      <c r="M135" s="145"/>
      <c r="T135" s="54"/>
      <c r="AT135" s="18" t="s">
        <v>187</v>
      </c>
      <c r="AU135" s="18" t="s">
        <v>87</v>
      </c>
    </row>
    <row r="136" spans="2:47" s="1" customFormat="1" ht="11.25">
      <c r="B136" s="33"/>
      <c r="D136" s="146" t="s">
        <v>189</v>
      </c>
      <c r="F136" s="147" t="s">
        <v>343</v>
      </c>
      <c r="I136" s="144"/>
      <c r="L136" s="33"/>
      <c r="M136" s="145"/>
      <c r="T136" s="54"/>
      <c r="AT136" s="18" t="s">
        <v>189</v>
      </c>
      <c r="AU136" s="18" t="s">
        <v>87</v>
      </c>
    </row>
    <row r="137" spans="2:47" s="1" customFormat="1" ht="273">
      <c r="B137" s="33"/>
      <c r="D137" s="142" t="s">
        <v>191</v>
      </c>
      <c r="F137" s="148" t="s">
        <v>344</v>
      </c>
      <c r="I137" s="144"/>
      <c r="L137" s="33"/>
      <c r="M137" s="145"/>
      <c r="T137" s="54"/>
      <c r="AT137" s="18" t="s">
        <v>191</v>
      </c>
      <c r="AU137" s="18" t="s">
        <v>87</v>
      </c>
    </row>
    <row r="138" spans="2:65" s="1" customFormat="1" ht="16.5" customHeight="1">
      <c r="B138" s="128"/>
      <c r="C138" s="129" t="s">
        <v>258</v>
      </c>
      <c r="D138" s="129" t="s">
        <v>180</v>
      </c>
      <c r="E138" s="130" t="s">
        <v>688</v>
      </c>
      <c r="F138" s="131" t="s">
        <v>689</v>
      </c>
      <c r="G138" s="132" t="s">
        <v>332</v>
      </c>
      <c r="H138" s="133">
        <v>332.508</v>
      </c>
      <c r="I138" s="134"/>
      <c r="J138" s="135">
        <f>ROUND(I138*H138,2)</f>
        <v>0</v>
      </c>
      <c r="K138" s="131" t="s">
        <v>184</v>
      </c>
      <c r="L138" s="33"/>
      <c r="M138" s="136" t="s">
        <v>3</v>
      </c>
      <c r="N138" s="137" t="s">
        <v>48</v>
      </c>
      <c r="P138" s="138">
        <f>O138*H138</f>
        <v>0</v>
      </c>
      <c r="Q138" s="138">
        <v>0</v>
      </c>
      <c r="R138" s="138">
        <f>Q138*H138</f>
        <v>0</v>
      </c>
      <c r="S138" s="138">
        <v>0</v>
      </c>
      <c r="T138" s="139">
        <f>S138*H138</f>
        <v>0</v>
      </c>
      <c r="AR138" s="140" t="s">
        <v>185</v>
      </c>
      <c r="AT138" s="140" t="s">
        <v>180</v>
      </c>
      <c r="AU138" s="140" t="s">
        <v>87</v>
      </c>
      <c r="AY138" s="18" t="s">
        <v>177</v>
      </c>
      <c r="BE138" s="141">
        <f>IF(N138="základní",J138,0)</f>
        <v>0</v>
      </c>
      <c r="BF138" s="141">
        <f>IF(N138="snížená",J138,0)</f>
        <v>0</v>
      </c>
      <c r="BG138" s="141">
        <f>IF(N138="zákl. přenesená",J138,0)</f>
        <v>0</v>
      </c>
      <c r="BH138" s="141">
        <f>IF(N138="sníž. přenesená",J138,0)</f>
        <v>0</v>
      </c>
      <c r="BI138" s="141">
        <f>IF(N138="nulová",J138,0)</f>
        <v>0</v>
      </c>
      <c r="BJ138" s="18" t="s">
        <v>85</v>
      </c>
      <c r="BK138" s="141">
        <f>ROUND(I138*H138,2)</f>
        <v>0</v>
      </c>
      <c r="BL138" s="18" t="s">
        <v>185</v>
      </c>
      <c r="BM138" s="140" t="s">
        <v>1382</v>
      </c>
    </row>
    <row r="139" spans="2:47" s="1" customFormat="1" ht="19.5">
      <c r="B139" s="33"/>
      <c r="D139" s="142" t="s">
        <v>187</v>
      </c>
      <c r="F139" s="143" t="s">
        <v>691</v>
      </c>
      <c r="I139" s="144"/>
      <c r="L139" s="33"/>
      <c r="M139" s="145"/>
      <c r="T139" s="54"/>
      <c r="AT139" s="18" t="s">
        <v>187</v>
      </c>
      <c r="AU139" s="18" t="s">
        <v>87</v>
      </c>
    </row>
    <row r="140" spans="2:47" s="1" customFormat="1" ht="11.25">
      <c r="B140" s="33"/>
      <c r="D140" s="146" t="s">
        <v>189</v>
      </c>
      <c r="F140" s="147" t="s">
        <v>692</v>
      </c>
      <c r="I140" s="144"/>
      <c r="L140" s="33"/>
      <c r="M140" s="145"/>
      <c r="T140" s="54"/>
      <c r="AT140" s="18" t="s">
        <v>189</v>
      </c>
      <c r="AU140" s="18" t="s">
        <v>87</v>
      </c>
    </row>
    <row r="141" spans="2:47" s="1" customFormat="1" ht="312">
      <c r="B141" s="33"/>
      <c r="D141" s="142" t="s">
        <v>191</v>
      </c>
      <c r="F141" s="148" t="s">
        <v>693</v>
      </c>
      <c r="I141" s="144"/>
      <c r="L141" s="33"/>
      <c r="M141" s="145"/>
      <c r="T141" s="54"/>
      <c r="AT141" s="18" t="s">
        <v>191</v>
      </c>
      <c r="AU141" s="18" t="s">
        <v>87</v>
      </c>
    </row>
    <row r="142" spans="2:51" s="13" customFormat="1" ht="11.25">
      <c r="B142" s="156"/>
      <c r="D142" s="142" t="s">
        <v>193</v>
      </c>
      <c r="E142" s="157" t="s">
        <v>3</v>
      </c>
      <c r="F142" s="158" t="s">
        <v>1383</v>
      </c>
      <c r="H142" s="157" t="s">
        <v>3</v>
      </c>
      <c r="I142" s="159"/>
      <c r="L142" s="156"/>
      <c r="M142" s="160"/>
      <c r="T142" s="161"/>
      <c r="AT142" s="157" t="s">
        <v>193</v>
      </c>
      <c r="AU142" s="157" t="s">
        <v>87</v>
      </c>
      <c r="AV142" s="13" t="s">
        <v>85</v>
      </c>
      <c r="AW142" s="13" t="s">
        <v>36</v>
      </c>
      <c r="AX142" s="13" t="s">
        <v>77</v>
      </c>
      <c r="AY142" s="157" t="s">
        <v>177</v>
      </c>
    </row>
    <row r="143" spans="2:51" s="12" customFormat="1" ht="11.25">
      <c r="B143" s="149"/>
      <c r="D143" s="142" t="s">
        <v>193</v>
      </c>
      <c r="E143" s="150" t="s">
        <v>3</v>
      </c>
      <c r="F143" s="151" t="s">
        <v>1384</v>
      </c>
      <c r="H143" s="152">
        <v>332.508</v>
      </c>
      <c r="I143" s="153"/>
      <c r="L143" s="149"/>
      <c r="M143" s="154"/>
      <c r="T143" s="155"/>
      <c r="AT143" s="150" t="s">
        <v>193</v>
      </c>
      <c r="AU143" s="150" t="s">
        <v>87</v>
      </c>
      <c r="AV143" s="12" t="s">
        <v>87</v>
      </c>
      <c r="AW143" s="12" t="s">
        <v>36</v>
      </c>
      <c r="AX143" s="12" t="s">
        <v>85</v>
      </c>
      <c r="AY143" s="150" t="s">
        <v>177</v>
      </c>
    </row>
    <row r="144" spans="2:65" s="1" customFormat="1" ht="16.5" customHeight="1">
      <c r="B144" s="128"/>
      <c r="C144" s="129" t="s">
        <v>265</v>
      </c>
      <c r="D144" s="129" t="s">
        <v>180</v>
      </c>
      <c r="E144" s="130" t="s">
        <v>695</v>
      </c>
      <c r="F144" s="131" t="s">
        <v>696</v>
      </c>
      <c r="G144" s="132" t="s">
        <v>332</v>
      </c>
      <c r="H144" s="133">
        <v>332.508</v>
      </c>
      <c r="I144" s="134"/>
      <c r="J144" s="135">
        <f>ROUND(I144*H144,2)</f>
        <v>0</v>
      </c>
      <c r="K144" s="131" t="s">
        <v>184</v>
      </c>
      <c r="L144" s="33"/>
      <c r="M144" s="136" t="s">
        <v>3</v>
      </c>
      <c r="N144" s="137" t="s">
        <v>48</v>
      </c>
      <c r="P144" s="138">
        <f>O144*H144</f>
        <v>0</v>
      </c>
      <c r="Q144" s="138">
        <v>7E-06</v>
      </c>
      <c r="R144" s="138">
        <f>Q144*H144</f>
        <v>0.0023275559999999997</v>
      </c>
      <c r="S144" s="138">
        <v>0</v>
      </c>
      <c r="T144" s="139">
        <f>S144*H144</f>
        <v>0</v>
      </c>
      <c r="AR144" s="140" t="s">
        <v>185</v>
      </c>
      <c r="AT144" s="140" t="s">
        <v>180</v>
      </c>
      <c r="AU144" s="140" t="s">
        <v>87</v>
      </c>
      <c r="AY144" s="18" t="s">
        <v>177</v>
      </c>
      <c r="BE144" s="141">
        <f>IF(N144="základní",J144,0)</f>
        <v>0</v>
      </c>
      <c r="BF144" s="141">
        <f>IF(N144="snížená",J144,0)</f>
        <v>0</v>
      </c>
      <c r="BG144" s="141">
        <f>IF(N144="zákl. přenesená",J144,0)</f>
        <v>0</v>
      </c>
      <c r="BH144" s="141">
        <f>IF(N144="sníž. přenesená",J144,0)</f>
        <v>0</v>
      </c>
      <c r="BI144" s="141">
        <f>IF(N144="nulová",J144,0)</f>
        <v>0</v>
      </c>
      <c r="BJ144" s="18" t="s">
        <v>85</v>
      </c>
      <c r="BK144" s="141">
        <f>ROUND(I144*H144,2)</f>
        <v>0</v>
      </c>
      <c r="BL144" s="18" t="s">
        <v>185</v>
      </c>
      <c r="BM144" s="140" t="s">
        <v>1385</v>
      </c>
    </row>
    <row r="145" spans="2:47" s="1" customFormat="1" ht="19.5">
      <c r="B145" s="33"/>
      <c r="D145" s="142" t="s">
        <v>187</v>
      </c>
      <c r="F145" s="143" t="s">
        <v>698</v>
      </c>
      <c r="I145" s="144"/>
      <c r="L145" s="33"/>
      <c r="M145" s="145"/>
      <c r="T145" s="54"/>
      <c r="AT145" s="18" t="s">
        <v>187</v>
      </c>
      <c r="AU145" s="18" t="s">
        <v>87</v>
      </c>
    </row>
    <row r="146" spans="2:47" s="1" customFormat="1" ht="11.25">
      <c r="B146" s="33"/>
      <c r="D146" s="146" t="s">
        <v>189</v>
      </c>
      <c r="F146" s="147" t="s">
        <v>699</v>
      </c>
      <c r="I146" s="144"/>
      <c r="L146" s="33"/>
      <c r="M146" s="145"/>
      <c r="T146" s="54"/>
      <c r="AT146" s="18" t="s">
        <v>189</v>
      </c>
      <c r="AU146" s="18" t="s">
        <v>87</v>
      </c>
    </row>
    <row r="147" spans="2:47" s="1" customFormat="1" ht="312">
      <c r="B147" s="33"/>
      <c r="D147" s="142" t="s">
        <v>191</v>
      </c>
      <c r="F147" s="148" t="s">
        <v>693</v>
      </c>
      <c r="I147" s="144"/>
      <c r="L147" s="33"/>
      <c r="M147" s="145"/>
      <c r="T147" s="54"/>
      <c r="AT147" s="18" t="s">
        <v>191</v>
      </c>
      <c r="AU147" s="18" t="s">
        <v>87</v>
      </c>
    </row>
    <row r="148" spans="2:65" s="1" customFormat="1" ht="24.2" customHeight="1">
      <c r="B148" s="128"/>
      <c r="C148" s="129" t="s">
        <v>271</v>
      </c>
      <c r="D148" s="129" t="s">
        <v>180</v>
      </c>
      <c r="E148" s="130" t="s">
        <v>1386</v>
      </c>
      <c r="F148" s="131" t="s">
        <v>1387</v>
      </c>
      <c r="G148" s="132" t="s">
        <v>476</v>
      </c>
      <c r="H148" s="133">
        <v>0.25</v>
      </c>
      <c r="I148" s="134"/>
      <c r="J148" s="135">
        <f>ROUND(I148*H148,2)</f>
        <v>0</v>
      </c>
      <c r="K148" s="131" t="s">
        <v>184</v>
      </c>
      <c r="L148" s="33"/>
      <c r="M148" s="136" t="s">
        <v>3</v>
      </c>
      <c r="N148" s="137" t="s">
        <v>48</v>
      </c>
      <c r="P148" s="138">
        <f>O148*H148</f>
        <v>0</v>
      </c>
      <c r="Q148" s="138">
        <v>0.001176</v>
      </c>
      <c r="R148" s="138">
        <f>Q148*H148</f>
        <v>0.000294</v>
      </c>
      <c r="S148" s="138">
        <v>0.014</v>
      </c>
      <c r="T148" s="139">
        <f>S148*H148</f>
        <v>0.0035</v>
      </c>
      <c r="AR148" s="140" t="s">
        <v>185</v>
      </c>
      <c r="AT148" s="140" t="s">
        <v>180</v>
      </c>
      <c r="AU148" s="140" t="s">
        <v>87</v>
      </c>
      <c r="AY148" s="18" t="s">
        <v>177</v>
      </c>
      <c r="BE148" s="141">
        <f>IF(N148="základní",J148,0)</f>
        <v>0</v>
      </c>
      <c r="BF148" s="141">
        <f>IF(N148="snížená",J148,0)</f>
        <v>0</v>
      </c>
      <c r="BG148" s="141">
        <f>IF(N148="zákl. přenesená",J148,0)</f>
        <v>0</v>
      </c>
      <c r="BH148" s="141">
        <f>IF(N148="sníž. přenesená",J148,0)</f>
        <v>0</v>
      </c>
      <c r="BI148" s="141">
        <f>IF(N148="nulová",J148,0)</f>
        <v>0</v>
      </c>
      <c r="BJ148" s="18" t="s">
        <v>85</v>
      </c>
      <c r="BK148" s="141">
        <f>ROUND(I148*H148,2)</f>
        <v>0</v>
      </c>
      <c r="BL148" s="18" t="s">
        <v>185</v>
      </c>
      <c r="BM148" s="140" t="s">
        <v>1388</v>
      </c>
    </row>
    <row r="149" spans="2:47" s="1" customFormat="1" ht="29.25">
      <c r="B149" s="33"/>
      <c r="D149" s="142" t="s">
        <v>187</v>
      </c>
      <c r="F149" s="143" t="s">
        <v>1389</v>
      </c>
      <c r="I149" s="144"/>
      <c r="L149" s="33"/>
      <c r="M149" s="145"/>
      <c r="T149" s="54"/>
      <c r="AT149" s="18" t="s">
        <v>187</v>
      </c>
      <c r="AU149" s="18" t="s">
        <v>87</v>
      </c>
    </row>
    <row r="150" spans="2:47" s="1" customFormat="1" ht="11.25">
      <c r="B150" s="33"/>
      <c r="D150" s="146" t="s">
        <v>189</v>
      </c>
      <c r="F150" s="147" t="s">
        <v>1390</v>
      </c>
      <c r="I150" s="144"/>
      <c r="L150" s="33"/>
      <c r="M150" s="145"/>
      <c r="T150" s="54"/>
      <c r="AT150" s="18" t="s">
        <v>189</v>
      </c>
      <c r="AU150" s="18" t="s">
        <v>87</v>
      </c>
    </row>
    <row r="151" spans="2:47" s="1" customFormat="1" ht="68.25">
      <c r="B151" s="33"/>
      <c r="D151" s="142" t="s">
        <v>191</v>
      </c>
      <c r="F151" s="148" t="s">
        <v>1391</v>
      </c>
      <c r="I151" s="144"/>
      <c r="L151" s="33"/>
      <c r="M151" s="145"/>
      <c r="T151" s="54"/>
      <c r="AT151" s="18" t="s">
        <v>191</v>
      </c>
      <c r="AU151" s="18" t="s">
        <v>87</v>
      </c>
    </row>
    <row r="152" spans="2:51" s="13" customFormat="1" ht="11.25">
      <c r="B152" s="156"/>
      <c r="D152" s="142" t="s">
        <v>193</v>
      </c>
      <c r="E152" s="157" t="s">
        <v>3</v>
      </c>
      <c r="F152" s="158" t="s">
        <v>1392</v>
      </c>
      <c r="H152" s="157" t="s">
        <v>3</v>
      </c>
      <c r="I152" s="159"/>
      <c r="L152" s="156"/>
      <c r="M152" s="160"/>
      <c r="T152" s="161"/>
      <c r="AT152" s="157" t="s">
        <v>193</v>
      </c>
      <c r="AU152" s="157" t="s">
        <v>87</v>
      </c>
      <c r="AV152" s="13" t="s">
        <v>85</v>
      </c>
      <c r="AW152" s="13" t="s">
        <v>36</v>
      </c>
      <c r="AX152" s="13" t="s">
        <v>77</v>
      </c>
      <c r="AY152" s="157" t="s">
        <v>177</v>
      </c>
    </row>
    <row r="153" spans="2:51" s="12" customFormat="1" ht="11.25">
      <c r="B153" s="149"/>
      <c r="D153" s="142" t="s">
        <v>193</v>
      </c>
      <c r="E153" s="150" t="s">
        <v>3</v>
      </c>
      <c r="F153" s="151" t="s">
        <v>1393</v>
      </c>
      <c r="H153" s="152">
        <v>0.25</v>
      </c>
      <c r="I153" s="153"/>
      <c r="L153" s="149"/>
      <c r="M153" s="154"/>
      <c r="T153" s="155"/>
      <c r="AT153" s="150" t="s">
        <v>193</v>
      </c>
      <c r="AU153" s="150" t="s">
        <v>87</v>
      </c>
      <c r="AV153" s="12" t="s">
        <v>87</v>
      </c>
      <c r="AW153" s="12" t="s">
        <v>36</v>
      </c>
      <c r="AX153" s="12" t="s">
        <v>85</v>
      </c>
      <c r="AY153" s="150" t="s">
        <v>177</v>
      </c>
    </row>
    <row r="154" spans="2:65" s="1" customFormat="1" ht="24.2" customHeight="1">
      <c r="B154" s="128"/>
      <c r="C154" s="129" t="s">
        <v>277</v>
      </c>
      <c r="D154" s="129" t="s">
        <v>180</v>
      </c>
      <c r="E154" s="130" t="s">
        <v>1394</v>
      </c>
      <c r="F154" s="131" t="s">
        <v>1395</v>
      </c>
      <c r="G154" s="132" t="s">
        <v>476</v>
      </c>
      <c r="H154" s="133">
        <v>0.5</v>
      </c>
      <c r="I154" s="134"/>
      <c r="J154" s="135">
        <f>ROUND(I154*H154,2)</f>
        <v>0</v>
      </c>
      <c r="K154" s="131" t="s">
        <v>184</v>
      </c>
      <c r="L154" s="33"/>
      <c r="M154" s="136" t="s">
        <v>3</v>
      </c>
      <c r="N154" s="137" t="s">
        <v>48</v>
      </c>
      <c r="P154" s="138">
        <f>O154*H154</f>
        <v>0</v>
      </c>
      <c r="Q154" s="138">
        <v>0.001275</v>
      </c>
      <c r="R154" s="138">
        <f>Q154*H154</f>
        <v>0.0006375</v>
      </c>
      <c r="S154" s="138">
        <v>0.021</v>
      </c>
      <c r="T154" s="139">
        <f>S154*H154</f>
        <v>0.0105</v>
      </c>
      <c r="AR154" s="140" t="s">
        <v>185</v>
      </c>
      <c r="AT154" s="140" t="s">
        <v>180</v>
      </c>
      <c r="AU154" s="140" t="s">
        <v>87</v>
      </c>
      <c r="AY154" s="18" t="s">
        <v>177</v>
      </c>
      <c r="BE154" s="141">
        <f>IF(N154="základní",J154,0)</f>
        <v>0</v>
      </c>
      <c r="BF154" s="141">
        <f>IF(N154="snížená",J154,0)</f>
        <v>0</v>
      </c>
      <c r="BG154" s="141">
        <f>IF(N154="zákl. přenesená",J154,0)</f>
        <v>0</v>
      </c>
      <c r="BH154" s="141">
        <f>IF(N154="sníž. přenesená",J154,0)</f>
        <v>0</v>
      </c>
      <c r="BI154" s="141">
        <f>IF(N154="nulová",J154,0)</f>
        <v>0</v>
      </c>
      <c r="BJ154" s="18" t="s">
        <v>85</v>
      </c>
      <c r="BK154" s="141">
        <f>ROUND(I154*H154,2)</f>
        <v>0</v>
      </c>
      <c r="BL154" s="18" t="s">
        <v>185</v>
      </c>
      <c r="BM154" s="140" t="s">
        <v>1396</v>
      </c>
    </row>
    <row r="155" spans="2:47" s="1" customFormat="1" ht="29.25">
      <c r="B155" s="33"/>
      <c r="D155" s="142" t="s">
        <v>187</v>
      </c>
      <c r="F155" s="143" t="s">
        <v>1397</v>
      </c>
      <c r="I155" s="144"/>
      <c r="L155" s="33"/>
      <c r="M155" s="145"/>
      <c r="T155" s="54"/>
      <c r="AT155" s="18" t="s">
        <v>187</v>
      </c>
      <c r="AU155" s="18" t="s">
        <v>87</v>
      </c>
    </row>
    <row r="156" spans="2:47" s="1" customFormat="1" ht="11.25">
      <c r="B156" s="33"/>
      <c r="D156" s="146" t="s">
        <v>189</v>
      </c>
      <c r="F156" s="147" t="s">
        <v>1398</v>
      </c>
      <c r="I156" s="144"/>
      <c r="L156" s="33"/>
      <c r="M156" s="145"/>
      <c r="T156" s="54"/>
      <c r="AT156" s="18" t="s">
        <v>189</v>
      </c>
      <c r="AU156" s="18" t="s">
        <v>87</v>
      </c>
    </row>
    <row r="157" spans="2:47" s="1" customFormat="1" ht="68.25">
      <c r="B157" s="33"/>
      <c r="D157" s="142" t="s">
        <v>191</v>
      </c>
      <c r="F157" s="148" t="s">
        <v>1391</v>
      </c>
      <c r="I157" s="144"/>
      <c r="L157" s="33"/>
      <c r="M157" s="145"/>
      <c r="T157" s="54"/>
      <c r="AT157" s="18" t="s">
        <v>191</v>
      </c>
      <c r="AU157" s="18" t="s">
        <v>87</v>
      </c>
    </row>
    <row r="158" spans="2:51" s="13" customFormat="1" ht="11.25">
      <c r="B158" s="156"/>
      <c r="D158" s="142" t="s">
        <v>193</v>
      </c>
      <c r="E158" s="157" t="s">
        <v>3</v>
      </c>
      <c r="F158" s="158" t="s">
        <v>1392</v>
      </c>
      <c r="H158" s="157" t="s">
        <v>3</v>
      </c>
      <c r="I158" s="159"/>
      <c r="L158" s="156"/>
      <c r="M158" s="160"/>
      <c r="T158" s="161"/>
      <c r="AT158" s="157" t="s">
        <v>193</v>
      </c>
      <c r="AU158" s="157" t="s">
        <v>87</v>
      </c>
      <c r="AV158" s="13" t="s">
        <v>85</v>
      </c>
      <c r="AW158" s="13" t="s">
        <v>36</v>
      </c>
      <c r="AX158" s="13" t="s">
        <v>77</v>
      </c>
      <c r="AY158" s="157" t="s">
        <v>177</v>
      </c>
    </row>
    <row r="159" spans="2:51" s="12" customFormat="1" ht="11.25">
      <c r="B159" s="149"/>
      <c r="D159" s="142" t="s">
        <v>193</v>
      </c>
      <c r="E159" s="150" t="s">
        <v>3</v>
      </c>
      <c r="F159" s="151" t="s">
        <v>1399</v>
      </c>
      <c r="H159" s="152">
        <v>0.5</v>
      </c>
      <c r="I159" s="153"/>
      <c r="L159" s="149"/>
      <c r="M159" s="154"/>
      <c r="T159" s="155"/>
      <c r="AT159" s="150" t="s">
        <v>193</v>
      </c>
      <c r="AU159" s="150" t="s">
        <v>87</v>
      </c>
      <c r="AV159" s="12" t="s">
        <v>87</v>
      </c>
      <c r="AW159" s="12" t="s">
        <v>36</v>
      </c>
      <c r="AX159" s="12" t="s">
        <v>85</v>
      </c>
      <c r="AY159" s="150" t="s">
        <v>177</v>
      </c>
    </row>
    <row r="160" spans="2:65" s="1" customFormat="1" ht="24.2" customHeight="1">
      <c r="B160" s="128"/>
      <c r="C160" s="129" t="s">
        <v>283</v>
      </c>
      <c r="D160" s="129" t="s">
        <v>180</v>
      </c>
      <c r="E160" s="130" t="s">
        <v>1400</v>
      </c>
      <c r="F160" s="131" t="s">
        <v>1401</v>
      </c>
      <c r="G160" s="132" t="s">
        <v>476</v>
      </c>
      <c r="H160" s="133">
        <v>0.25</v>
      </c>
      <c r="I160" s="134"/>
      <c r="J160" s="135">
        <f>ROUND(I160*H160,2)</f>
        <v>0</v>
      </c>
      <c r="K160" s="131" t="s">
        <v>184</v>
      </c>
      <c r="L160" s="33"/>
      <c r="M160" s="136" t="s">
        <v>3</v>
      </c>
      <c r="N160" s="137" t="s">
        <v>48</v>
      </c>
      <c r="P160" s="138">
        <f>O160*H160</f>
        <v>0</v>
      </c>
      <c r="Q160" s="138">
        <v>0.00147</v>
      </c>
      <c r="R160" s="138">
        <f>Q160*H160</f>
        <v>0.0003675</v>
      </c>
      <c r="S160" s="138">
        <v>0.039</v>
      </c>
      <c r="T160" s="139">
        <f>S160*H160</f>
        <v>0.00975</v>
      </c>
      <c r="AR160" s="140" t="s">
        <v>185</v>
      </c>
      <c r="AT160" s="140" t="s">
        <v>180</v>
      </c>
      <c r="AU160" s="140" t="s">
        <v>87</v>
      </c>
      <c r="AY160" s="18" t="s">
        <v>177</v>
      </c>
      <c r="BE160" s="141">
        <f>IF(N160="základní",J160,0)</f>
        <v>0</v>
      </c>
      <c r="BF160" s="141">
        <f>IF(N160="snížená",J160,0)</f>
        <v>0</v>
      </c>
      <c r="BG160" s="141">
        <f>IF(N160="zákl. přenesená",J160,0)</f>
        <v>0</v>
      </c>
      <c r="BH160" s="141">
        <f>IF(N160="sníž. přenesená",J160,0)</f>
        <v>0</v>
      </c>
      <c r="BI160" s="141">
        <f>IF(N160="nulová",J160,0)</f>
        <v>0</v>
      </c>
      <c r="BJ160" s="18" t="s">
        <v>85</v>
      </c>
      <c r="BK160" s="141">
        <f>ROUND(I160*H160,2)</f>
        <v>0</v>
      </c>
      <c r="BL160" s="18" t="s">
        <v>185</v>
      </c>
      <c r="BM160" s="140" t="s">
        <v>1402</v>
      </c>
    </row>
    <row r="161" spans="2:47" s="1" customFormat="1" ht="29.25">
      <c r="B161" s="33"/>
      <c r="D161" s="142" t="s">
        <v>187</v>
      </c>
      <c r="F161" s="143" t="s">
        <v>1403</v>
      </c>
      <c r="I161" s="144"/>
      <c r="L161" s="33"/>
      <c r="M161" s="145"/>
      <c r="T161" s="54"/>
      <c r="AT161" s="18" t="s">
        <v>187</v>
      </c>
      <c r="AU161" s="18" t="s">
        <v>87</v>
      </c>
    </row>
    <row r="162" spans="2:47" s="1" customFormat="1" ht="11.25">
      <c r="B162" s="33"/>
      <c r="D162" s="146" t="s">
        <v>189</v>
      </c>
      <c r="F162" s="147" t="s">
        <v>1404</v>
      </c>
      <c r="I162" s="144"/>
      <c r="L162" s="33"/>
      <c r="M162" s="145"/>
      <c r="T162" s="54"/>
      <c r="AT162" s="18" t="s">
        <v>189</v>
      </c>
      <c r="AU162" s="18" t="s">
        <v>87</v>
      </c>
    </row>
    <row r="163" spans="2:47" s="1" customFormat="1" ht="68.25">
      <c r="B163" s="33"/>
      <c r="D163" s="142" t="s">
        <v>191</v>
      </c>
      <c r="F163" s="148" t="s">
        <v>1391</v>
      </c>
      <c r="I163" s="144"/>
      <c r="L163" s="33"/>
      <c r="M163" s="145"/>
      <c r="T163" s="54"/>
      <c r="AT163" s="18" t="s">
        <v>191</v>
      </c>
      <c r="AU163" s="18" t="s">
        <v>87</v>
      </c>
    </row>
    <row r="164" spans="2:51" s="13" customFormat="1" ht="11.25">
      <c r="B164" s="156"/>
      <c r="D164" s="142" t="s">
        <v>193</v>
      </c>
      <c r="E164" s="157" t="s">
        <v>3</v>
      </c>
      <c r="F164" s="158" t="s">
        <v>1392</v>
      </c>
      <c r="H164" s="157" t="s">
        <v>3</v>
      </c>
      <c r="I164" s="159"/>
      <c r="L164" s="156"/>
      <c r="M164" s="160"/>
      <c r="T164" s="161"/>
      <c r="AT164" s="157" t="s">
        <v>193</v>
      </c>
      <c r="AU164" s="157" t="s">
        <v>87</v>
      </c>
      <c r="AV164" s="13" t="s">
        <v>85</v>
      </c>
      <c r="AW164" s="13" t="s">
        <v>36</v>
      </c>
      <c r="AX164" s="13" t="s">
        <v>77</v>
      </c>
      <c r="AY164" s="157" t="s">
        <v>177</v>
      </c>
    </row>
    <row r="165" spans="2:51" s="12" customFormat="1" ht="11.25">
      <c r="B165" s="149"/>
      <c r="D165" s="142" t="s">
        <v>193</v>
      </c>
      <c r="E165" s="150" t="s">
        <v>3</v>
      </c>
      <c r="F165" s="151" t="s">
        <v>1393</v>
      </c>
      <c r="H165" s="152">
        <v>0.25</v>
      </c>
      <c r="I165" s="153"/>
      <c r="L165" s="149"/>
      <c r="M165" s="154"/>
      <c r="T165" s="155"/>
      <c r="AT165" s="150" t="s">
        <v>193</v>
      </c>
      <c r="AU165" s="150" t="s">
        <v>87</v>
      </c>
      <c r="AV165" s="12" t="s">
        <v>87</v>
      </c>
      <c r="AW165" s="12" t="s">
        <v>36</v>
      </c>
      <c r="AX165" s="12" t="s">
        <v>85</v>
      </c>
      <c r="AY165" s="150" t="s">
        <v>177</v>
      </c>
    </row>
    <row r="166" spans="2:63" s="11" customFormat="1" ht="22.9" customHeight="1">
      <c r="B166" s="116"/>
      <c r="D166" s="117" t="s">
        <v>76</v>
      </c>
      <c r="E166" s="126" t="s">
        <v>178</v>
      </c>
      <c r="F166" s="126" t="s">
        <v>179</v>
      </c>
      <c r="I166" s="119"/>
      <c r="J166" s="127">
        <f>BK166</f>
        <v>0</v>
      </c>
      <c r="L166" s="116"/>
      <c r="M166" s="121"/>
      <c r="P166" s="122">
        <f>SUM(P167:P188)</f>
        <v>0</v>
      </c>
      <c r="R166" s="122">
        <f>SUM(R167:R188)</f>
        <v>0</v>
      </c>
      <c r="T166" s="123">
        <f>SUM(T167:T188)</f>
        <v>0</v>
      </c>
      <c r="AR166" s="117" t="s">
        <v>85</v>
      </c>
      <c r="AT166" s="124" t="s">
        <v>76</v>
      </c>
      <c r="AU166" s="124" t="s">
        <v>85</v>
      </c>
      <c r="AY166" s="117" t="s">
        <v>177</v>
      </c>
      <c r="BK166" s="125">
        <f>SUM(BK167:BK188)</f>
        <v>0</v>
      </c>
    </row>
    <row r="167" spans="2:65" s="1" customFormat="1" ht="24.2" customHeight="1">
      <c r="B167" s="128"/>
      <c r="C167" s="129" t="s">
        <v>9</v>
      </c>
      <c r="D167" s="129" t="s">
        <v>180</v>
      </c>
      <c r="E167" s="130" t="s">
        <v>181</v>
      </c>
      <c r="F167" s="131" t="s">
        <v>182</v>
      </c>
      <c r="G167" s="132" t="s">
        <v>183</v>
      </c>
      <c r="H167" s="133">
        <v>0.024</v>
      </c>
      <c r="I167" s="134"/>
      <c r="J167" s="135">
        <f>ROUND(I167*H167,2)</f>
        <v>0</v>
      </c>
      <c r="K167" s="131" t="s">
        <v>184</v>
      </c>
      <c r="L167" s="33"/>
      <c r="M167" s="136" t="s">
        <v>3</v>
      </c>
      <c r="N167" s="137" t="s">
        <v>48</v>
      </c>
      <c r="P167" s="138">
        <f>O167*H167</f>
        <v>0</v>
      </c>
      <c r="Q167" s="138">
        <v>0</v>
      </c>
      <c r="R167" s="138">
        <f>Q167*H167</f>
        <v>0</v>
      </c>
      <c r="S167" s="138">
        <v>0</v>
      </c>
      <c r="T167" s="139">
        <f>S167*H167</f>
        <v>0</v>
      </c>
      <c r="AR167" s="140" t="s">
        <v>185</v>
      </c>
      <c r="AT167" s="140" t="s">
        <v>180</v>
      </c>
      <c r="AU167" s="140" t="s">
        <v>87</v>
      </c>
      <c r="AY167" s="18" t="s">
        <v>177</v>
      </c>
      <c r="BE167" s="141">
        <f>IF(N167="základní",J167,0)</f>
        <v>0</v>
      </c>
      <c r="BF167" s="141">
        <f>IF(N167="snížená",J167,0)</f>
        <v>0</v>
      </c>
      <c r="BG167" s="141">
        <f>IF(N167="zákl. přenesená",J167,0)</f>
        <v>0</v>
      </c>
      <c r="BH167" s="141">
        <f>IF(N167="sníž. přenesená",J167,0)</f>
        <v>0</v>
      </c>
      <c r="BI167" s="141">
        <f>IF(N167="nulová",J167,0)</f>
        <v>0</v>
      </c>
      <c r="BJ167" s="18" t="s">
        <v>85</v>
      </c>
      <c r="BK167" s="141">
        <f>ROUND(I167*H167,2)</f>
        <v>0</v>
      </c>
      <c r="BL167" s="18" t="s">
        <v>185</v>
      </c>
      <c r="BM167" s="140" t="s">
        <v>1405</v>
      </c>
    </row>
    <row r="168" spans="2:47" s="1" customFormat="1" ht="19.5">
      <c r="B168" s="33"/>
      <c r="D168" s="142" t="s">
        <v>187</v>
      </c>
      <c r="F168" s="143" t="s">
        <v>188</v>
      </c>
      <c r="I168" s="144"/>
      <c r="L168" s="33"/>
      <c r="M168" s="145"/>
      <c r="T168" s="54"/>
      <c r="AT168" s="18" t="s">
        <v>187</v>
      </c>
      <c r="AU168" s="18" t="s">
        <v>87</v>
      </c>
    </row>
    <row r="169" spans="2:47" s="1" customFormat="1" ht="11.25">
      <c r="B169" s="33"/>
      <c r="D169" s="146" t="s">
        <v>189</v>
      </c>
      <c r="F169" s="147" t="s">
        <v>190</v>
      </c>
      <c r="I169" s="144"/>
      <c r="L169" s="33"/>
      <c r="M169" s="145"/>
      <c r="T169" s="54"/>
      <c r="AT169" s="18" t="s">
        <v>189</v>
      </c>
      <c r="AU169" s="18" t="s">
        <v>87</v>
      </c>
    </row>
    <row r="170" spans="2:47" s="1" customFormat="1" ht="146.25">
      <c r="B170" s="33"/>
      <c r="D170" s="142" t="s">
        <v>191</v>
      </c>
      <c r="F170" s="148" t="s">
        <v>192</v>
      </c>
      <c r="I170" s="144"/>
      <c r="L170" s="33"/>
      <c r="M170" s="145"/>
      <c r="T170" s="54"/>
      <c r="AT170" s="18" t="s">
        <v>191</v>
      </c>
      <c r="AU170" s="18" t="s">
        <v>87</v>
      </c>
    </row>
    <row r="171" spans="2:65" s="1" customFormat="1" ht="33" customHeight="1">
      <c r="B171" s="128"/>
      <c r="C171" s="129" t="s">
        <v>237</v>
      </c>
      <c r="D171" s="129" t="s">
        <v>180</v>
      </c>
      <c r="E171" s="130" t="s">
        <v>202</v>
      </c>
      <c r="F171" s="131" t="s">
        <v>203</v>
      </c>
      <c r="G171" s="132" t="s">
        <v>183</v>
      </c>
      <c r="H171" s="133">
        <v>0.048</v>
      </c>
      <c r="I171" s="134"/>
      <c r="J171" s="135">
        <f>ROUND(I171*H171,2)</f>
        <v>0</v>
      </c>
      <c r="K171" s="131" t="s">
        <v>184</v>
      </c>
      <c r="L171" s="33"/>
      <c r="M171" s="136" t="s">
        <v>3</v>
      </c>
      <c r="N171" s="137" t="s">
        <v>48</v>
      </c>
      <c r="P171" s="138">
        <f>O171*H171</f>
        <v>0</v>
      </c>
      <c r="Q171" s="138">
        <v>0</v>
      </c>
      <c r="R171" s="138">
        <f>Q171*H171</f>
        <v>0</v>
      </c>
      <c r="S171" s="138">
        <v>0</v>
      </c>
      <c r="T171" s="139">
        <f>S171*H171</f>
        <v>0</v>
      </c>
      <c r="AR171" s="140" t="s">
        <v>185</v>
      </c>
      <c r="AT171" s="140" t="s">
        <v>180</v>
      </c>
      <c r="AU171" s="140" t="s">
        <v>87</v>
      </c>
      <c r="AY171" s="18" t="s">
        <v>177</v>
      </c>
      <c r="BE171" s="141">
        <f>IF(N171="základní",J171,0)</f>
        <v>0</v>
      </c>
      <c r="BF171" s="141">
        <f>IF(N171="snížená",J171,0)</f>
        <v>0</v>
      </c>
      <c r="BG171" s="141">
        <f>IF(N171="zákl. přenesená",J171,0)</f>
        <v>0</v>
      </c>
      <c r="BH171" s="141">
        <f>IF(N171="sníž. přenesená",J171,0)</f>
        <v>0</v>
      </c>
      <c r="BI171" s="141">
        <f>IF(N171="nulová",J171,0)</f>
        <v>0</v>
      </c>
      <c r="BJ171" s="18" t="s">
        <v>85</v>
      </c>
      <c r="BK171" s="141">
        <f>ROUND(I171*H171,2)</f>
        <v>0</v>
      </c>
      <c r="BL171" s="18" t="s">
        <v>185</v>
      </c>
      <c r="BM171" s="140" t="s">
        <v>1406</v>
      </c>
    </row>
    <row r="172" spans="2:47" s="1" customFormat="1" ht="39">
      <c r="B172" s="33"/>
      <c r="D172" s="142" t="s">
        <v>187</v>
      </c>
      <c r="F172" s="143" t="s">
        <v>205</v>
      </c>
      <c r="I172" s="144"/>
      <c r="L172" s="33"/>
      <c r="M172" s="145"/>
      <c r="T172" s="54"/>
      <c r="AT172" s="18" t="s">
        <v>187</v>
      </c>
      <c r="AU172" s="18" t="s">
        <v>87</v>
      </c>
    </row>
    <row r="173" spans="2:47" s="1" customFormat="1" ht="11.25">
      <c r="B173" s="33"/>
      <c r="D173" s="146" t="s">
        <v>189</v>
      </c>
      <c r="F173" s="147" t="s">
        <v>206</v>
      </c>
      <c r="I173" s="144"/>
      <c r="L173" s="33"/>
      <c r="M173" s="145"/>
      <c r="T173" s="54"/>
      <c r="AT173" s="18" t="s">
        <v>189</v>
      </c>
      <c r="AU173" s="18" t="s">
        <v>87</v>
      </c>
    </row>
    <row r="174" spans="2:47" s="1" customFormat="1" ht="146.25">
      <c r="B174" s="33"/>
      <c r="D174" s="142" t="s">
        <v>191</v>
      </c>
      <c r="F174" s="148" t="s">
        <v>192</v>
      </c>
      <c r="I174" s="144"/>
      <c r="L174" s="33"/>
      <c r="M174" s="145"/>
      <c r="T174" s="54"/>
      <c r="AT174" s="18" t="s">
        <v>191</v>
      </c>
      <c r="AU174" s="18" t="s">
        <v>87</v>
      </c>
    </row>
    <row r="175" spans="2:51" s="12" customFormat="1" ht="11.25">
      <c r="B175" s="149"/>
      <c r="D175" s="142" t="s">
        <v>193</v>
      </c>
      <c r="F175" s="151" t="s">
        <v>1407</v>
      </c>
      <c r="H175" s="152">
        <v>0.048</v>
      </c>
      <c r="I175" s="153"/>
      <c r="L175" s="149"/>
      <c r="M175" s="154"/>
      <c r="T175" s="155"/>
      <c r="AT175" s="150" t="s">
        <v>193</v>
      </c>
      <c r="AU175" s="150" t="s">
        <v>87</v>
      </c>
      <c r="AV175" s="12" t="s">
        <v>87</v>
      </c>
      <c r="AW175" s="12" t="s">
        <v>4</v>
      </c>
      <c r="AX175" s="12" t="s">
        <v>85</v>
      </c>
      <c r="AY175" s="150" t="s">
        <v>177</v>
      </c>
    </row>
    <row r="176" spans="2:65" s="1" customFormat="1" ht="24.2" customHeight="1">
      <c r="B176" s="128"/>
      <c r="C176" s="129" t="s">
        <v>302</v>
      </c>
      <c r="D176" s="129" t="s">
        <v>180</v>
      </c>
      <c r="E176" s="130" t="s">
        <v>208</v>
      </c>
      <c r="F176" s="131" t="s">
        <v>209</v>
      </c>
      <c r="G176" s="132" t="s">
        <v>183</v>
      </c>
      <c r="H176" s="133">
        <v>0.024</v>
      </c>
      <c r="I176" s="134"/>
      <c r="J176" s="135">
        <f>ROUND(I176*H176,2)</f>
        <v>0</v>
      </c>
      <c r="K176" s="131" t="s">
        <v>184</v>
      </c>
      <c r="L176" s="33"/>
      <c r="M176" s="136" t="s">
        <v>3</v>
      </c>
      <c r="N176" s="137" t="s">
        <v>48</v>
      </c>
      <c r="P176" s="138">
        <f>O176*H176</f>
        <v>0</v>
      </c>
      <c r="Q176" s="138">
        <v>0</v>
      </c>
      <c r="R176" s="138">
        <f>Q176*H176</f>
        <v>0</v>
      </c>
      <c r="S176" s="138">
        <v>0</v>
      </c>
      <c r="T176" s="139">
        <f>S176*H176</f>
        <v>0</v>
      </c>
      <c r="AR176" s="140" t="s">
        <v>185</v>
      </c>
      <c r="AT176" s="140" t="s">
        <v>180</v>
      </c>
      <c r="AU176" s="140" t="s">
        <v>87</v>
      </c>
      <c r="AY176" s="18" t="s">
        <v>177</v>
      </c>
      <c r="BE176" s="141">
        <f>IF(N176="základní",J176,0)</f>
        <v>0</v>
      </c>
      <c r="BF176" s="141">
        <f>IF(N176="snížená",J176,0)</f>
        <v>0</v>
      </c>
      <c r="BG176" s="141">
        <f>IF(N176="zákl. přenesená",J176,0)</f>
        <v>0</v>
      </c>
      <c r="BH176" s="141">
        <f>IF(N176="sníž. přenesená",J176,0)</f>
        <v>0</v>
      </c>
      <c r="BI176" s="141">
        <f>IF(N176="nulová",J176,0)</f>
        <v>0</v>
      </c>
      <c r="BJ176" s="18" t="s">
        <v>85</v>
      </c>
      <c r="BK176" s="141">
        <f>ROUND(I176*H176,2)</f>
        <v>0</v>
      </c>
      <c r="BL176" s="18" t="s">
        <v>185</v>
      </c>
      <c r="BM176" s="140" t="s">
        <v>1408</v>
      </c>
    </row>
    <row r="177" spans="2:47" s="1" customFormat="1" ht="19.5">
      <c r="B177" s="33"/>
      <c r="D177" s="142" t="s">
        <v>187</v>
      </c>
      <c r="F177" s="143" t="s">
        <v>211</v>
      </c>
      <c r="I177" s="144"/>
      <c r="L177" s="33"/>
      <c r="M177" s="145"/>
      <c r="T177" s="54"/>
      <c r="AT177" s="18" t="s">
        <v>187</v>
      </c>
      <c r="AU177" s="18" t="s">
        <v>87</v>
      </c>
    </row>
    <row r="178" spans="2:47" s="1" customFormat="1" ht="11.25">
      <c r="B178" s="33"/>
      <c r="D178" s="146" t="s">
        <v>189</v>
      </c>
      <c r="F178" s="147" t="s">
        <v>212</v>
      </c>
      <c r="I178" s="144"/>
      <c r="L178" s="33"/>
      <c r="M178" s="145"/>
      <c r="T178" s="54"/>
      <c r="AT178" s="18" t="s">
        <v>189</v>
      </c>
      <c r="AU178" s="18" t="s">
        <v>87</v>
      </c>
    </row>
    <row r="179" spans="2:47" s="1" customFormat="1" ht="97.5">
      <c r="B179" s="33"/>
      <c r="D179" s="142" t="s">
        <v>191</v>
      </c>
      <c r="F179" s="148" t="s">
        <v>213</v>
      </c>
      <c r="I179" s="144"/>
      <c r="L179" s="33"/>
      <c r="M179" s="145"/>
      <c r="T179" s="54"/>
      <c r="AT179" s="18" t="s">
        <v>191</v>
      </c>
      <c r="AU179" s="18" t="s">
        <v>87</v>
      </c>
    </row>
    <row r="180" spans="2:65" s="1" customFormat="1" ht="24.2" customHeight="1">
      <c r="B180" s="128"/>
      <c r="C180" s="129" t="s">
        <v>315</v>
      </c>
      <c r="D180" s="129" t="s">
        <v>180</v>
      </c>
      <c r="E180" s="130" t="s">
        <v>214</v>
      </c>
      <c r="F180" s="131" t="s">
        <v>215</v>
      </c>
      <c r="G180" s="132" t="s">
        <v>183</v>
      </c>
      <c r="H180" s="133">
        <v>0.456</v>
      </c>
      <c r="I180" s="134"/>
      <c r="J180" s="135">
        <f>ROUND(I180*H180,2)</f>
        <v>0</v>
      </c>
      <c r="K180" s="131" t="s">
        <v>184</v>
      </c>
      <c r="L180" s="33"/>
      <c r="M180" s="136" t="s">
        <v>3</v>
      </c>
      <c r="N180" s="137" t="s">
        <v>48</v>
      </c>
      <c r="P180" s="138">
        <f>O180*H180</f>
        <v>0</v>
      </c>
      <c r="Q180" s="138">
        <v>0</v>
      </c>
      <c r="R180" s="138">
        <f>Q180*H180</f>
        <v>0</v>
      </c>
      <c r="S180" s="138">
        <v>0</v>
      </c>
      <c r="T180" s="139">
        <f>S180*H180</f>
        <v>0</v>
      </c>
      <c r="AR180" s="140" t="s">
        <v>185</v>
      </c>
      <c r="AT180" s="140" t="s">
        <v>180</v>
      </c>
      <c r="AU180" s="140" t="s">
        <v>87</v>
      </c>
      <c r="AY180" s="18" t="s">
        <v>177</v>
      </c>
      <c r="BE180" s="141">
        <f>IF(N180="základní",J180,0)</f>
        <v>0</v>
      </c>
      <c r="BF180" s="141">
        <f>IF(N180="snížená",J180,0)</f>
        <v>0</v>
      </c>
      <c r="BG180" s="141">
        <f>IF(N180="zákl. přenesená",J180,0)</f>
        <v>0</v>
      </c>
      <c r="BH180" s="141">
        <f>IF(N180="sníž. přenesená",J180,0)</f>
        <v>0</v>
      </c>
      <c r="BI180" s="141">
        <f>IF(N180="nulová",J180,0)</f>
        <v>0</v>
      </c>
      <c r="BJ180" s="18" t="s">
        <v>85</v>
      </c>
      <c r="BK180" s="141">
        <f>ROUND(I180*H180,2)</f>
        <v>0</v>
      </c>
      <c r="BL180" s="18" t="s">
        <v>185</v>
      </c>
      <c r="BM180" s="140" t="s">
        <v>1409</v>
      </c>
    </row>
    <row r="181" spans="2:47" s="1" customFormat="1" ht="29.25">
      <c r="B181" s="33"/>
      <c r="D181" s="142" t="s">
        <v>187</v>
      </c>
      <c r="F181" s="143" t="s">
        <v>217</v>
      </c>
      <c r="I181" s="144"/>
      <c r="L181" s="33"/>
      <c r="M181" s="145"/>
      <c r="T181" s="54"/>
      <c r="AT181" s="18" t="s">
        <v>187</v>
      </c>
      <c r="AU181" s="18" t="s">
        <v>87</v>
      </c>
    </row>
    <row r="182" spans="2:47" s="1" customFormat="1" ht="11.25">
      <c r="B182" s="33"/>
      <c r="D182" s="146" t="s">
        <v>189</v>
      </c>
      <c r="F182" s="147" t="s">
        <v>218</v>
      </c>
      <c r="I182" s="144"/>
      <c r="L182" s="33"/>
      <c r="M182" s="145"/>
      <c r="T182" s="54"/>
      <c r="AT182" s="18" t="s">
        <v>189</v>
      </c>
      <c r="AU182" s="18" t="s">
        <v>87</v>
      </c>
    </row>
    <row r="183" spans="2:47" s="1" customFormat="1" ht="97.5">
      <c r="B183" s="33"/>
      <c r="D183" s="142" t="s">
        <v>191</v>
      </c>
      <c r="F183" s="148" t="s">
        <v>213</v>
      </c>
      <c r="I183" s="144"/>
      <c r="L183" s="33"/>
      <c r="M183" s="145"/>
      <c r="T183" s="54"/>
      <c r="AT183" s="18" t="s">
        <v>191</v>
      </c>
      <c r="AU183" s="18" t="s">
        <v>87</v>
      </c>
    </row>
    <row r="184" spans="2:51" s="12" customFormat="1" ht="11.25">
      <c r="B184" s="149"/>
      <c r="D184" s="142" t="s">
        <v>193</v>
      </c>
      <c r="F184" s="151" t="s">
        <v>1410</v>
      </c>
      <c r="H184" s="152">
        <v>0.456</v>
      </c>
      <c r="I184" s="153"/>
      <c r="L184" s="149"/>
      <c r="M184" s="154"/>
      <c r="T184" s="155"/>
      <c r="AT184" s="150" t="s">
        <v>193</v>
      </c>
      <c r="AU184" s="150" t="s">
        <v>87</v>
      </c>
      <c r="AV184" s="12" t="s">
        <v>87</v>
      </c>
      <c r="AW184" s="12" t="s">
        <v>4</v>
      </c>
      <c r="AX184" s="12" t="s">
        <v>85</v>
      </c>
      <c r="AY184" s="150" t="s">
        <v>177</v>
      </c>
    </row>
    <row r="185" spans="2:65" s="1" customFormat="1" ht="44.25" customHeight="1">
      <c r="B185" s="128"/>
      <c r="C185" s="129" t="s">
        <v>461</v>
      </c>
      <c r="D185" s="129" t="s">
        <v>180</v>
      </c>
      <c r="E185" s="130" t="s">
        <v>223</v>
      </c>
      <c r="F185" s="131" t="s">
        <v>224</v>
      </c>
      <c r="G185" s="132" t="s">
        <v>183</v>
      </c>
      <c r="H185" s="133">
        <v>0.024</v>
      </c>
      <c r="I185" s="134"/>
      <c r="J185" s="135">
        <f>ROUND(I185*H185,2)</f>
        <v>0</v>
      </c>
      <c r="K185" s="131" t="s">
        <v>184</v>
      </c>
      <c r="L185" s="33"/>
      <c r="M185" s="136" t="s">
        <v>3</v>
      </c>
      <c r="N185" s="137" t="s">
        <v>48</v>
      </c>
      <c r="P185" s="138">
        <f>O185*H185</f>
        <v>0</v>
      </c>
      <c r="Q185" s="138">
        <v>0</v>
      </c>
      <c r="R185" s="138">
        <f>Q185*H185</f>
        <v>0</v>
      </c>
      <c r="S185" s="138">
        <v>0</v>
      </c>
      <c r="T185" s="139">
        <f>S185*H185</f>
        <v>0</v>
      </c>
      <c r="AR185" s="140" t="s">
        <v>185</v>
      </c>
      <c r="AT185" s="140" t="s">
        <v>180</v>
      </c>
      <c r="AU185" s="140" t="s">
        <v>87</v>
      </c>
      <c r="AY185" s="18" t="s">
        <v>177</v>
      </c>
      <c r="BE185" s="141">
        <f>IF(N185="základní",J185,0)</f>
        <v>0</v>
      </c>
      <c r="BF185" s="141">
        <f>IF(N185="snížená",J185,0)</f>
        <v>0</v>
      </c>
      <c r="BG185" s="141">
        <f>IF(N185="zákl. přenesená",J185,0)</f>
        <v>0</v>
      </c>
      <c r="BH185" s="141">
        <f>IF(N185="sníž. přenesená",J185,0)</f>
        <v>0</v>
      </c>
      <c r="BI185" s="141">
        <f>IF(N185="nulová",J185,0)</f>
        <v>0</v>
      </c>
      <c r="BJ185" s="18" t="s">
        <v>85</v>
      </c>
      <c r="BK185" s="141">
        <f>ROUND(I185*H185,2)</f>
        <v>0</v>
      </c>
      <c r="BL185" s="18" t="s">
        <v>185</v>
      </c>
      <c r="BM185" s="140" t="s">
        <v>1411</v>
      </c>
    </row>
    <row r="186" spans="2:47" s="1" customFormat="1" ht="29.25">
      <c r="B186" s="33"/>
      <c r="D186" s="142" t="s">
        <v>187</v>
      </c>
      <c r="F186" s="143" t="s">
        <v>226</v>
      </c>
      <c r="I186" s="144"/>
      <c r="L186" s="33"/>
      <c r="M186" s="145"/>
      <c r="T186" s="54"/>
      <c r="AT186" s="18" t="s">
        <v>187</v>
      </c>
      <c r="AU186" s="18" t="s">
        <v>87</v>
      </c>
    </row>
    <row r="187" spans="2:47" s="1" customFormat="1" ht="11.25">
      <c r="B187" s="33"/>
      <c r="D187" s="146" t="s">
        <v>189</v>
      </c>
      <c r="F187" s="147" t="s">
        <v>227</v>
      </c>
      <c r="I187" s="144"/>
      <c r="L187" s="33"/>
      <c r="M187" s="145"/>
      <c r="T187" s="54"/>
      <c r="AT187" s="18" t="s">
        <v>189</v>
      </c>
      <c r="AU187" s="18" t="s">
        <v>87</v>
      </c>
    </row>
    <row r="188" spans="2:47" s="1" customFormat="1" ht="58.5">
      <c r="B188" s="33"/>
      <c r="D188" s="142" t="s">
        <v>191</v>
      </c>
      <c r="F188" s="148" t="s">
        <v>228</v>
      </c>
      <c r="I188" s="144"/>
      <c r="L188" s="33"/>
      <c r="M188" s="145"/>
      <c r="T188" s="54"/>
      <c r="AT188" s="18" t="s">
        <v>191</v>
      </c>
      <c r="AU188" s="18" t="s">
        <v>87</v>
      </c>
    </row>
    <row r="189" spans="2:63" s="11" customFormat="1" ht="22.9" customHeight="1">
      <c r="B189" s="116"/>
      <c r="D189" s="117" t="s">
        <v>76</v>
      </c>
      <c r="E189" s="126" t="s">
        <v>518</v>
      </c>
      <c r="F189" s="126" t="s">
        <v>519</v>
      </c>
      <c r="I189" s="119"/>
      <c r="J189" s="127">
        <f>BK189</f>
        <v>0</v>
      </c>
      <c r="L189" s="116"/>
      <c r="M189" s="121"/>
      <c r="P189" s="122">
        <f>SUM(P190:P193)</f>
        <v>0</v>
      </c>
      <c r="R189" s="122">
        <f>SUM(R190:R193)</f>
        <v>0</v>
      </c>
      <c r="T189" s="123">
        <f>SUM(T190:T193)</f>
        <v>0</v>
      </c>
      <c r="AR189" s="117" t="s">
        <v>85</v>
      </c>
      <c r="AT189" s="124" t="s">
        <v>76</v>
      </c>
      <c r="AU189" s="124" t="s">
        <v>85</v>
      </c>
      <c r="AY189" s="117" t="s">
        <v>177</v>
      </c>
      <c r="BK189" s="125">
        <f>SUM(BK190:BK193)</f>
        <v>0</v>
      </c>
    </row>
    <row r="190" spans="2:65" s="1" customFormat="1" ht="21.75" customHeight="1">
      <c r="B190" s="128"/>
      <c r="C190" s="129" t="s">
        <v>467</v>
      </c>
      <c r="D190" s="129" t="s">
        <v>180</v>
      </c>
      <c r="E190" s="130" t="s">
        <v>521</v>
      </c>
      <c r="F190" s="131" t="s">
        <v>522</v>
      </c>
      <c r="G190" s="132" t="s">
        <v>183</v>
      </c>
      <c r="H190" s="133">
        <v>26.626</v>
      </c>
      <c r="I190" s="134"/>
      <c r="J190" s="135">
        <f>ROUND(I190*H190,2)</f>
        <v>0</v>
      </c>
      <c r="K190" s="131" t="s">
        <v>184</v>
      </c>
      <c r="L190" s="33"/>
      <c r="M190" s="136" t="s">
        <v>3</v>
      </c>
      <c r="N190" s="137" t="s">
        <v>48</v>
      </c>
      <c r="P190" s="138">
        <f>O190*H190</f>
        <v>0</v>
      </c>
      <c r="Q190" s="138">
        <v>0</v>
      </c>
      <c r="R190" s="138">
        <f>Q190*H190</f>
        <v>0</v>
      </c>
      <c r="S190" s="138">
        <v>0</v>
      </c>
      <c r="T190" s="139">
        <f>S190*H190</f>
        <v>0</v>
      </c>
      <c r="AR190" s="140" t="s">
        <v>185</v>
      </c>
      <c r="AT190" s="140" t="s">
        <v>180</v>
      </c>
      <c r="AU190" s="140" t="s">
        <v>87</v>
      </c>
      <c r="AY190" s="18" t="s">
        <v>177</v>
      </c>
      <c r="BE190" s="141">
        <f>IF(N190="základní",J190,0)</f>
        <v>0</v>
      </c>
      <c r="BF190" s="141">
        <f>IF(N190="snížená",J190,0)</f>
        <v>0</v>
      </c>
      <c r="BG190" s="141">
        <f>IF(N190="zákl. přenesená",J190,0)</f>
        <v>0</v>
      </c>
      <c r="BH190" s="141">
        <f>IF(N190="sníž. přenesená",J190,0)</f>
        <v>0</v>
      </c>
      <c r="BI190" s="141">
        <f>IF(N190="nulová",J190,0)</f>
        <v>0</v>
      </c>
      <c r="BJ190" s="18" t="s">
        <v>85</v>
      </c>
      <c r="BK190" s="141">
        <f>ROUND(I190*H190,2)</f>
        <v>0</v>
      </c>
      <c r="BL190" s="18" t="s">
        <v>185</v>
      </c>
      <c r="BM190" s="140" t="s">
        <v>1412</v>
      </c>
    </row>
    <row r="191" spans="2:47" s="1" customFormat="1" ht="39">
      <c r="B191" s="33"/>
      <c r="D191" s="142" t="s">
        <v>187</v>
      </c>
      <c r="F191" s="143" t="s">
        <v>524</v>
      </c>
      <c r="I191" s="144"/>
      <c r="L191" s="33"/>
      <c r="M191" s="145"/>
      <c r="T191" s="54"/>
      <c r="AT191" s="18" t="s">
        <v>187</v>
      </c>
      <c r="AU191" s="18" t="s">
        <v>87</v>
      </c>
    </row>
    <row r="192" spans="2:47" s="1" customFormat="1" ht="11.25">
      <c r="B192" s="33"/>
      <c r="D192" s="146" t="s">
        <v>189</v>
      </c>
      <c r="F192" s="147" t="s">
        <v>525</v>
      </c>
      <c r="I192" s="144"/>
      <c r="L192" s="33"/>
      <c r="M192" s="145"/>
      <c r="T192" s="54"/>
      <c r="AT192" s="18" t="s">
        <v>189</v>
      </c>
      <c r="AU192" s="18" t="s">
        <v>87</v>
      </c>
    </row>
    <row r="193" spans="2:47" s="1" customFormat="1" ht="87.75">
      <c r="B193" s="33"/>
      <c r="D193" s="142" t="s">
        <v>191</v>
      </c>
      <c r="F193" s="148" t="s">
        <v>526</v>
      </c>
      <c r="I193" s="144"/>
      <c r="L193" s="33"/>
      <c r="M193" s="145"/>
      <c r="T193" s="54"/>
      <c r="AT193" s="18" t="s">
        <v>191</v>
      </c>
      <c r="AU193" s="18" t="s">
        <v>87</v>
      </c>
    </row>
    <row r="194" spans="2:63" s="11" customFormat="1" ht="25.9" customHeight="1">
      <c r="B194" s="116"/>
      <c r="D194" s="117" t="s">
        <v>76</v>
      </c>
      <c r="E194" s="118" t="s">
        <v>229</v>
      </c>
      <c r="F194" s="118" t="s">
        <v>230</v>
      </c>
      <c r="I194" s="119"/>
      <c r="J194" s="120">
        <f>BK194</f>
        <v>0</v>
      </c>
      <c r="L194" s="116"/>
      <c r="M194" s="121"/>
      <c r="P194" s="122">
        <f>P195+P218</f>
        <v>0</v>
      </c>
      <c r="R194" s="122">
        <f>R195+R218</f>
        <v>2.4276493760399998</v>
      </c>
      <c r="T194" s="123">
        <f>T195+T218</f>
        <v>0</v>
      </c>
      <c r="AR194" s="117" t="s">
        <v>87</v>
      </c>
      <c r="AT194" s="124" t="s">
        <v>76</v>
      </c>
      <c r="AU194" s="124" t="s">
        <v>77</v>
      </c>
      <c r="AY194" s="117" t="s">
        <v>177</v>
      </c>
      <c r="BK194" s="125">
        <f>BK195+BK218</f>
        <v>0</v>
      </c>
    </row>
    <row r="195" spans="2:63" s="11" customFormat="1" ht="22.9" customHeight="1">
      <c r="B195" s="116"/>
      <c r="D195" s="117" t="s">
        <v>76</v>
      </c>
      <c r="E195" s="126" t="s">
        <v>1235</v>
      </c>
      <c r="F195" s="126" t="s">
        <v>1236</v>
      </c>
      <c r="I195" s="119"/>
      <c r="J195" s="127">
        <f>BK195</f>
        <v>0</v>
      </c>
      <c r="L195" s="116"/>
      <c r="M195" s="121"/>
      <c r="P195" s="122">
        <f>SUM(P196:P217)</f>
        <v>0</v>
      </c>
      <c r="R195" s="122">
        <f>SUM(R196:R217)</f>
        <v>2.26899479004</v>
      </c>
      <c r="T195" s="123">
        <f>SUM(T196:T217)</f>
        <v>0</v>
      </c>
      <c r="AR195" s="117" t="s">
        <v>87</v>
      </c>
      <c r="AT195" s="124" t="s">
        <v>76</v>
      </c>
      <c r="AU195" s="124" t="s">
        <v>85</v>
      </c>
      <c r="AY195" s="117" t="s">
        <v>177</v>
      </c>
      <c r="BK195" s="125">
        <f>SUM(BK196:BK217)</f>
        <v>0</v>
      </c>
    </row>
    <row r="196" spans="2:65" s="1" customFormat="1" ht="24.2" customHeight="1">
      <c r="B196" s="128"/>
      <c r="C196" s="129" t="s">
        <v>8</v>
      </c>
      <c r="D196" s="129" t="s">
        <v>180</v>
      </c>
      <c r="E196" s="130" t="s">
        <v>1413</v>
      </c>
      <c r="F196" s="131" t="s">
        <v>1414</v>
      </c>
      <c r="G196" s="132" t="s">
        <v>332</v>
      </c>
      <c r="H196" s="133">
        <v>332.508</v>
      </c>
      <c r="I196" s="134"/>
      <c r="J196" s="135">
        <f>ROUND(I196*H196,2)</f>
        <v>0</v>
      </c>
      <c r="K196" s="131" t="s">
        <v>184</v>
      </c>
      <c r="L196" s="33"/>
      <c r="M196" s="136" t="s">
        <v>3</v>
      </c>
      <c r="N196" s="137" t="s">
        <v>48</v>
      </c>
      <c r="P196" s="138">
        <f>O196*H196</f>
        <v>0</v>
      </c>
      <c r="Q196" s="138">
        <v>0</v>
      </c>
      <c r="R196" s="138">
        <f>Q196*H196</f>
        <v>0</v>
      </c>
      <c r="S196" s="138">
        <v>0</v>
      </c>
      <c r="T196" s="139">
        <f>S196*H196</f>
        <v>0</v>
      </c>
      <c r="AR196" s="140" t="s">
        <v>237</v>
      </c>
      <c r="AT196" s="140" t="s">
        <v>180</v>
      </c>
      <c r="AU196" s="140" t="s">
        <v>87</v>
      </c>
      <c r="AY196" s="18" t="s">
        <v>177</v>
      </c>
      <c r="BE196" s="141">
        <f>IF(N196="základní",J196,0)</f>
        <v>0</v>
      </c>
      <c r="BF196" s="141">
        <f>IF(N196="snížená",J196,0)</f>
        <v>0</v>
      </c>
      <c r="BG196" s="141">
        <f>IF(N196="zákl. přenesená",J196,0)</f>
        <v>0</v>
      </c>
      <c r="BH196" s="141">
        <f>IF(N196="sníž. přenesená",J196,0)</f>
        <v>0</v>
      </c>
      <c r="BI196" s="141">
        <f>IF(N196="nulová",J196,0)</f>
        <v>0</v>
      </c>
      <c r="BJ196" s="18" t="s">
        <v>85</v>
      </c>
      <c r="BK196" s="141">
        <f>ROUND(I196*H196,2)</f>
        <v>0</v>
      </c>
      <c r="BL196" s="18" t="s">
        <v>237</v>
      </c>
      <c r="BM196" s="140" t="s">
        <v>1415</v>
      </c>
    </row>
    <row r="197" spans="2:47" s="1" customFormat="1" ht="19.5">
      <c r="B197" s="33"/>
      <c r="D197" s="142" t="s">
        <v>187</v>
      </c>
      <c r="F197" s="143" t="s">
        <v>1416</v>
      </c>
      <c r="I197" s="144"/>
      <c r="L197" s="33"/>
      <c r="M197" s="145"/>
      <c r="T197" s="54"/>
      <c r="AT197" s="18" t="s">
        <v>187</v>
      </c>
      <c r="AU197" s="18" t="s">
        <v>87</v>
      </c>
    </row>
    <row r="198" spans="2:47" s="1" customFormat="1" ht="11.25">
      <c r="B198" s="33"/>
      <c r="D198" s="146" t="s">
        <v>189</v>
      </c>
      <c r="F198" s="147" t="s">
        <v>1417</v>
      </c>
      <c r="I198" s="144"/>
      <c r="L198" s="33"/>
      <c r="M198" s="145"/>
      <c r="T198" s="54"/>
      <c r="AT198" s="18" t="s">
        <v>189</v>
      </c>
      <c r="AU198" s="18" t="s">
        <v>87</v>
      </c>
    </row>
    <row r="199" spans="2:47" s="1" customFormat="1" ht="48.75">
      <c r="B199" s="33"/>
      <c r="D199" s="142" t="s">
        <v>191</v>
      </c>
      <c r="F199" s="148" t="s">
        <v>1418</v>
      </c>
      <c r="I199" s="144"/>
      <c r="L199" s="33"/>
      <c r="M199" s="145"/>
      <c r="T199" s="54"/>
      <c r="AT199" s="18" t="s">
        <v>191</v>
      </c>
      <c r="AU199" s="18" t="s">
        <v>87</v>
      </c>
    </row>
    <row r="200" spans="2:65" s="1" customFormat="1" ht="16.5" customHeight="1">
      <c r="B200" s="128"/>
      <c r="C200" s="179" t="s">
        <v>483</v>
      </c>
      <c r="D200" s="179" t="s">
        <v>484</v>
      </c>
      <c r="E200" s="180" t="s">
        <v>1419</v>
      </c>
      <c r="F200" s="181" t="s">
        <v>1420</v>
      </c>
      <c r="G200" s="182" t="s">
        <v>183</v>
      </c>
      <c r="H200" s="183">
        <v>0.1</v>
      </c>
      <c r="I200" s="184"/>
      <c r="J200" s="185">
        <f>ROUND(I200*H200,2)</f>
        <v>0</v>
      </c>
      <c r="K200" s="181" t="s">
        <v>184</v>
      </c>
      <c r="L200" s="186"/>
      <c r="M200" s="187" t="s">
        <v>3</v>
      </c>
      <c r="N200" s="188" t="s">
        <v>48</v>
      </c>
      <c r="P200" s="138">
        <f>O200*H200</f>
        <v>0</v>
      </c>
      <c r="Q200" s="138">
        <v>1</v>
      </c>
      <c r="R200" s="138">
        <f>Q200*H200</f>
        <v>0.1</v>
      </c>
      <c r="S200" s="138">
        <v>0</v>
      </c>
      <c r="T200" s="139">
        <f>S200*H200</f>
        <v>0</v>
      </c>
      <c r="AR200" s="140" t="s">
        <v>537</v>
      </c>
      <c r="AT200" s="140" t="s">
        <v>484</v>
      </c>
      <c r="AU200" s="140" t="s">
        <v>87</v>
      </c>
      <c r="AY200" s="18" t="s">
        <v>177</v>
      </c>
      <c r="BE200" s="141">
        <f>IF(N200="základní",J200,0)</f>
        <v>0</v>
      </c>
      <c r="BF200" s="141">
        <f>IF(N200="snížená",J200,0)</f>
        <v>0</v>
      </c>
      <c r="BG200" s="141">
        <f>IF(N200="zákl. přenesená",J200,0)</f>
        <v>0</v>
      </c>
      <c r="BH200" s="141">
        <f>IF(N200="sníž. přenesená",J200,0)</f>
        <v>0</v>
      </c>
      <c r="BI200" s="141">
        <f>IF(N200="nulová",J200,0)</f>
        <v>0</v>
      </c>
      <c r="BJ200" s="18" t="s">
        <v>85</v>
      </c>
      <c r="BK200" s="141">
        <f>ROUND(I200*H200,2)</f>
        <v>0</v>
      </c>
      <c r="BL200" s="18" t="s">
        <v>237</v>
      </c>
      <c r="BM200" s="140" t="s">
        <v>1421</v>
      </c>
    </row>
    <row r="201" spans="2:47" s="1" customFormat="1" ht="11.25">
      <c r="B201" s="33"/>
      <c r="D201" s="142" t="s">
        <v>187</v>
      </c>
      <c r="F201" s="143" t="s">
        <v>1420</v>
      </c>
      <c r="I201" s="144"/>
      <c r="L201" s="33"/>
      <c r="M201" s="145"/>
      <c r="T201" s="54"/>
      <c r="AT201" s="18" t="s">
        <v>187</v>
      </c>
      <c r="AU201" s="18" t="s">
        <v>87</v>
      </c>
    </row>
    <row r="202" spans="2:51" s="12" customFormat="1" ht="11.25">
      <c r="B202" s="149"/>
      <c r="D202" s="142" t="s">
        <v>193</v>
      </c>
      <c r="F202" s="151" t="s">
        <v>1422</v>
      </c>
      <c r="H202" s="152">
        <v>0.1</v>
      </c>
      <c r="I202" s="153"/>
      <c r="L202" s="149"/>
      <c r="M202" s="154"/>
      <c r="T202" s="155"/>
      <c r="AT202" s="150" t="s">
        <v>193</v>
      </c>
      <c r="AU202" s="150" t="s">
        <v>87</v>
      </c>
      <c r="AV202" s="12" t="s">
        <v>87</v>
      </c>
      <c r="AW202" s="12" t="s">
        <v>4</v>
      </c>
      <c r="AX202" s="12" t="s">
        <v>85</v>
      </c>
      <c r="AY202" s="150" t="s">
        <v>177</v>
      </c>
    </row>
    <row r="203" spans="2:65" s="1" customFormat="1" ht="24.2" customHeight="1">
      <c r="B203" s="128"/>
      <c r="C203" s="129" t="s">
        <v>490</v>
      </c>
      <c r="D203" s="129" t="s">
        <v>180</v>
      </c>
      <c r="E203" s="130" t="s">
        <v>1423</v>
      </c>
      <c r="F203" s="131" t="s">
        <v>1424</v>
      </c>
      <c r="G203" s="132" t="s">
        <v>332</v>
      </c>
      <c r="H203" s="133">
        <v>332.508</v>
      </c>
      <c r="I203" s="134"/>
      <c r="J203" s="135">
        <f>ROUND(I203*H203,2)</f>
        <v>0</v>
      </c>
      <c r="K203" s="131" t="s">
        <v>184</v>
      </c>
      <c r="L203" s="33"/>
      <c r="M203" s="136" t="s">
        <v>3</v>
      </c>
      <c r="N203" s="137" t="s">
        <v>48</v>
      </c>
      <c r="P203" s="138">
        <f>O203*H203</f>
        <v>0</v>
      </c>
      <c r="Q203" s="138">
        <v>0.00088313</v>
      </c>
      <c r="R203" s="138">
        <f>Q203*H203</f>
        <v>0.29364779003999997</v>
      </c>
      <c r="S203" s="138">
        <v>0</v>
      </c>
      <c r="T203" s="139">
        <f>S203*H203</f>
        <v>0</v>
      </c>
      <c r="AR203" s="140" t="s">
        <v>237</v>
      </c>
      <c r="AT203" s="140" t="s">
        <v>180</v>
      </c>
      <c r="AU203" s="140" t="s">
        <v>87</v>
      </c>
      <c r="AY203" s="18" t="s">
        <v>177</v>
      </c>
      <c r="BE203" s="141">
        <f>IF(N203="základní",J203,0)</f>
        <v>0</v>
      </c>
      <c r="BF203" s="141">
        <f>IF(N203="snížená",J203,0)</f>
        <v>0</v>
      </c>
      <c r="BG203" s="141">
        <f>IF(N203="zákl. přenesená",J203,0)</f>
        <v>0</v>
      </c>
      <c r="BH203" s="141">
        <f>IF(N203="sníž. přenesená",J203,0)</f>
        <v>0</v>
      </c>
      <c r="BI203" s="141">
        <f>IF(N203="nulová",J203,0)</f>
        <v>0</v>
      </c>
      <c r="BJ203" s="18" t="s">
        <v>85</v>
      </c>
      <c r="BK203" s="141">
        <f>ROUND(I203*H203,2)</f>
        <v>0</v>
      </c>
      <c r="BL203" s="18" t="s">
        <v>237</v>
      </c>
      <c r="BM203" s="140" t="s">
        <v>1425</v>
      </c>
    </row>
    <row r="204" spans="2:47" s="1" customFormat="1" ht="19.5">
      <c r="B204" s="33"/>
      <c r="D204" s="142" t="s">
        <v>187</v>
      </c>
      <c r="F204" s="143" t="s">
        <v>1426</v>
      </c>
      <c r="I204" s="144"/>
      <c r="L204" s="33"/>
      <c r="M204" s="145"/>
      <c r="T204" s="54"/>
      <c r="AT204" s="18" t="s">
        <v>187</v>
      </c>
      <c r="AU204" s="18" t="s">
        <v>87</v>
      </c>
    </row>
    <row r="205" spans="2:47" s="1" customFormat="1" ht="11.25">
      <c r="B205" s="33"/>
      <c r="D205" s="146" t="s">
        <v>189</v>
      </c>
      <c r="F205" s="147" t="s">
        <v>1427</v>
      </c>
      <c r="I205" s="144"/>
      <c r="L205" s="33"/>
      <c r="M205" s="145"/>
      <c r="T205" s="54"/>
      <c r="AT205" s="18" t="s">
        <v>189</v>
      </c>
      <c r="AU205" s="18" t="s">
        <v>87</v>
      </c>
    </row>
    <row r="206" spans="2:47" s="1" customFormat="1" ht="48.75">
      <c r="B206" s="33"/>
      <c r="D206" s="142" t="s">
        <v>191</v>
      </c>
      <c r="F206" s="148" t="s">
        <v>1428</v>
      </c>
      <c r="I206" s="144"/>
      <c r="L206" s="33"/>
      <c r="M206" s="145"/>
      <c r="T206" s="54"/>
      <c r="AT206" s="18" t="s">
        <v>191</v>
      </c>
      <c r="AU206" s="18" t="s">
        <v>87</v>
      </c>
    </row>
    <row r="207" spans="2:65" s="1" customFormat="1" ht="55.5" customHeight="1">
      <c r="B207" s="128"/>
      <c r="C207" s="179" t="s">
        <v>496</v>
      </c>
      <c r="D207" s="179" t="s">
        <v>484</v>
      </c>
      <c r="E207" s="180" t="s">
        <v>1429</v>
      </c>
      <c r="F207" s="181" t="s">
        <v>1430</v>
      </c>
      <c r="G207" s="182" t="s">
        <v>332</v>
      </c>
      <c r="H207" s="183">
        <v>399.01</v>
      </c>
      <c r="I207" s="184"/>
      <c r="J207" s="185">
        <f>ROUND(I207*H207,2)</f>
        <v>0</v>
      </c>
      <c r="K207" s="181" t="s">
        <v>184</v>
      </c>
      <c r="L207" s="186"/>
      <c r="M207" s="187" t="s">
        <v>3</v>
      </c>
      <c r="N207" s="188" t="s">
        <v>48</v>
      </c>
      <c r="P207" s="138">
        <f>O207*H207</f>
        <v>0</v>
      </c>
      <c r="Q207" s="138">
        <v>0.0047</v>
      </c>
      <c r="R207" s="138">
        <f>Q207*H207</f>
        <v>1.875347</v>
      </c>
      <c r="S207" s="138">
        <v>0</v>
      </c>
      <c r="T207" s="139">
        <f>S207*H207</f>
        <v>0</v>
      </c>
      <c r="AR207" s="140" t="s">
        <v>537</v>
      </c>
      <c r="AT207" s="140" t="s">
        <v>484</v>
      </c>
      <c r="AU207" s="140" t="s">
        <v>87</v>
      </c>
      <c r="AY207" s="18" t="s">
        <v>177</v>
      </c>
      <c r="BE207" s="141">
        <f>IF(N207="základní",J207,0)</f>
        <v>0</v>
      </c>
      <c r="BF207" s="141">
        <f>IF(N207="snížená",J207,0)</f>
        <v>0</v>
      </c>
      <c r="BG207" s="141">
        <f>IF(N207="zákl. přenesená",J207,0)</f>
        <v>0</v>
      </c>
      <c r="BH207" s="141">
        <f>IF(N207="sníž. přenesená",J207,0)</f>
        <v>0</v>
      </c>
      <c r="BI207" s="141">
        <f>IF(N207="nulová",J207,0)</f>
        <v>0</v>
      </c>
      <c r="BJ207" s="18" t="s">
        <v>85</v>
      </c>
      <c r="BK207" s="141">
        <f>ROUND(I207*H207,2)</f>
        <v>0</v>
      </c>
      <c r="BL207" s="18" t="s">
        <v>237</v>
      </c>
      <c r="BM207" s="140" t="s">
        <v>1431</v>
      </c>
    </row>
    <row r="208" spans="2:47" s="1" customFormat="1" ht="29.25">
      <c r="B208" s="33"/>
      <c r="D208" s="142" t="s">
        <v>187</v>
      </c>
      <c r="F208" s="143" t="s">
        <v>1430</v>
      </c>
      <c r="I208" s="144"/>
      <c r="L208" s="33"/>
      <c r="M208" s="145"/>
      <c r="T208" s="54"/>
      <c r="AT208" s="18" t="s">
        <v>187</v>
      </c>
      <c r="AU208" s="18" t="s">
        <v>87</v>
      </c>
    </row>
    <row r="209" spans="2:51" s="12" customFormat="1" ht="11.25">
      <c r="B209" s="149"/>
      <c r="D209" s="142" t="s">
        <v>193</v>
      </c>
      <c r="F209" s="151" t="s">
        <v>1432</v>
      </c>
      <c r="H209" s="152">
        <v>399.01</v>
      </c>
      <c r="I209" s="153"/>
      <c r="L209" s="149"/>
      <c r="M209" s="154"/>
      <c r="T209" s="155"/>
      <c r="AT209" s="150" t="s">
        <v>193</v>
      </c>
      <c r="AU209" s="150" t="s">
        <v>87</v>
      </c>
      <c r="AV209" s="12" t="s">
        <v>87</v>
      </c>
      <c r="AW209" s="12" t="s">
        <v>4</v>
      </c>
      <c r="AX209" s="12" t="s">
        <v>85</v>
      </c>
      <c r="AY209" s="150" t="s">
        <v>177</v>
      </c>
    </row>
    <row r="210" spans="2:65" s="1" customFormat="1" ht="24.2" customHeight="1">
      <c r="B210" s="128"/>
      <c r="C210" s="129" t="s">
        <v>502</v>
      </c>
      <c r="D210" s="129" t="s">
        <v>180</v>
      </c>
      <c r="E210" s="130" t="s">
        <v>1433</v>
      </c>
      <c r="F210" s="131" t="s">
        <v>1434</v>
      </c>
      <c r="G210" s="132" t="s">
        <v>183</v>
      </c>
      <c r="H210" s="133">
        <v>2.269</v>
      </c>
      <c r="I210" s="134"/>
      <c r="J210" s="135">
        <f>ROUND(I210*H210,2)</f>
        <v>0</v>
      </c>
      <c r="K210" s="131" t="s">
        <v>184</v>
      </c>
      <c r="L210" s="33"/>
      <c r="M210" s="136" t="s">
        <v>3</v>
      </c>
      <c r="N210" s="137" t="s">
        <v>48</v>
      </c>
      <c r="P210" s="138">
        <f>O210*H210</f>
        <v>0</v>
      </c>
      <c r="Q210" s="138">
        <v>0</v>
      </c>
      <c r="R210" s="138">
        <f>Q210*H210</f>
        <v>0</v>
      </c>
      <c r="S210" s="138">
        <v>0</v>
      </c>
      <c r="T210" s="139">
        <f>S210*H210</f>
        <v>0</v>
      </c>
      <c r="AR210" s="140" t="s">
        <v>237</v>
      </c>
      <c r="AT210" s="140" t="s">
        <v>180</v>
      </c>
      <c r="AU210" s="140" t="s">
        <v>87</v>
      </c>
      <c r="AY210" s="18" t="s">
        <v>177</v>
      </c>
      <c r="BE210" s="141">
        <f>IF(N210="základní",J210,0)</f>
        <v>0</v>
      </c>
      <c r="BF210" s="141">
        <f>IF(N210="snížená",J210,0)</f>
        <v>0</v>
      </c>
      <c r="BG210" s="141">
        <f>IF(N210="zákl. přenesená",J210,0)</f>
        <v>0</v>
      </c>
      <c r="BH210" s="141">
        <f>IF(N210="sníž. přenesená",J210,0)</f>
        <v>0</v>
      </c>
      <c r="BI210" s="141">
        <f>IF(N210="nulová",J210,0)</f>
        <v>0</v>
      </c>
      <c r="BJ210" s="18" t="s">
        <v>85</v>
      </c>
      <c r="BK210" s="141">
        <f>ROUND(I210*H210,2)</f>
        <v>0</v>
      </c>
      <c r="BL210" s="18" t="s">
        <v>237</v>
      </c>
      <c r="BM210" s="140" t="s">
        <v>1435</v>
      </c>
    </row>
    <row r="211" spans="2:47" s="1" customFormat="1" ht="29.25">
      <c r="B211" s="33"/>
      <c r="D211" s="142" t="s">
        <v>187</v>
      </c>
      <c r="F211" s="143" t="s">
        <v>1436</v>
      </c>
      <c r="I211" s="144"/>
      <c r="L211" s="33"/>
      <c r="M211" s="145"/>
      <c r="T211" s="54"/>
      <c r="AT211" s="18" t="s">
        <v>187</v>
      </c>
      <c r="AU211" s="18" t="s">
        <v>87</v>
      </c>
    </row>
    <row r="212" spans="2:47" s="1" customFormat="1" ht="11.25">
      <c r="B212" s="33"/>
      <c r="D212" s="146" t="s">
        <v>189</v>
      </c>
      <c r="F212" s="147" t="s">
        <v>1437</v>
      </c>
      <c r="I212" s="144"/>
      <c r="L212" s="33"/>
      <c r="M212" s="145"/>
      <c r="T212" s="54"/>
      <c r="AT212" s="18" t="s">
        <v>189</v>
      </c>
      <c r="AU212" s="18" t="s">
        <v>87</v>
      </c>
    </row>
    <row r="213" spans="2:47" s="1" customFormat="1" ht="126.75">
      <c r="B213" s="33"/>
      <c r="D213" s="142" t="s">
        <v>191</v>
      </c>
      <c r="F213" s="148" t="s">
        <v>1438</v>
      </c>
      <c r="I213" s="144"/>
      <c r="L213" s="33"/>
      <c r="M213" s="145"/>
      <c r="T213" s="54"/>
      <c r="AT213" s="18" t="s">
        <v>191</v>
      </c>
      <c r="AU213" s="18" t="s">
        <v>87</v>
      </c>
    </row>
    <row r="214" spans="2:65" s="1" customFormat="1" ht="24.2" customHeight="1">
      <c r="B214" s="128"/>
      <c r="C214" s="129" t="s">
        <v>504</v>
      </c>
      <c r="D214" s="129" t="s">
        <v>180</v>
      </c>
      <c r="E214" s="130" t="s">
        <v>1439</v>
      </c>
      <c r="F214" s="131" t="s">
        <v>1440</v>
      </c>
      <c r="G214" s="132" t="s">
        <v>183</v>
      </c>
      <c r="H214" s="133">
        <v>2.269</v>
      </c>
      <c r="I214" s="134"/>
      <c r="J214" s="135">
        <f>ROUND(I214*H214,2)</f>
        <v>0</v>
      </c>
      <c r="K214" s="131" t="s">
        <v>184</v>
      </c>
      <c r="L214" s="33"/>
      <c r="M214" s="136" t="s">
        <v>3</v>
      </c>
      <c r="N214" s="137" t="s">
        <v>48</v>
      </c>
      <c r="P214" s="138">
        <f>O214*H214</f>
        <v>0</v>
      </c>
      <c r="Q214" s="138">
        <v>0</v>
      </c>
      <c r="R214" s="138">
        <f>Q214*H214</f>
        <v>0</v>
      </c>
      <c r="S214" s="138">
        <v>0</v>
      </c>
      <c r="T214" s="139">
        <f>S214*H214</f>
        <v>0</v>
      </c>
      <c r="AR214" s="140" t="s">
        <v>237</v>
      </c>
      <c r="AT214" s="140" t="s">
        <v>180</v>
      </c>
      <c r="AU214" s="140" t="s">
        <v>87</v>
      </c>
      <c r="AY214" s="18" t="s">
        <v>177</v>
      </c>
      <c r="BE214" s="141">
        <f>IF(N214="základní",J214,0)</f>
        <v>0</v>
      </c>
      <c r="BF214" s="141">
        <f>IF(N214="snížená",J214,0)</f>
        <v>0</v>
      </c>
      <c r="BG214" s="141">
        <f>IF(N214="zákl. přenesená",J214,0)</f>
        <v>0</v>
      </c>
      <c r="BH214" s="141">
        <f>IF(N214="sníž. přenesená",J214,0)</f>
        <v>0</v>
      </c>
      <c r="BI214" s="141">
        <f>IF(N214="nulová",J214,0)</f>
        <v>0</v>
      </c>
      <c r="BJ214" s="18" t="s">
        <v>85</v>
      </c>
      <c r="BK214" s="141">
        <f>ROUND(I214*H214,2)</f>
        <v>0</v>
      </c>
      <c r="BL214" s="18" t="s">
        <v>237</v>
      </c>
      <c r="BM214" s="140" t="s">
        <v>1441</v>
      </c>
    </row>
    <row r="215" spans="2:47" s="1" customFormat="1" ht="29.25">
      <c r="B215" s="33"/>
      <c r="D215" s="142" t="s">
        <v>187</v>
      </c>
      <c r="F215" s="143" t="s">
        <v>1442</v>
      </c>
      <c r="I215" s="144"/>
      <c r="L215" s="33"/>
      <c r="M215" s="145"/>
      <c r="T215" s="54"/>
      <c r="AT215" s="18" t="s">
        <v>187</v>
      </c>
      <c r="AU215" s="18" t="s">
        <v>87</v>
      </c>
    </row>
    <row r="216" spans="2:47" s="1" customFormat="1" ht="11.25">
      <c r="B216" s="33"/>
      <c r="D216" s="146" t="s">
        <v>189</v>
      </c>
      <c r="F216" s="147" t="s">
        <v>1443</v>
      </c>
      <c r="I216" s="144"/>
      <c r="L216" s="33"/>
      <c r="M216" s="145"/>
      <c r="T216" s="54"/>
      <c r="AT216" s="18" t="s">
        <v>189</v>
      </c>
      <c r="AU216" s="18" t="s">
        <v>87</v>
      </c>
    </row>
    <row r="217" spans="2:47" s="1" customFormat="1" ht="126.75">
      <c r="B217" s="33"/>
      <c r="D217" s="142" t="s">
        <v>191</v>
      </c>
      <c r="F217" s="148" t="s">
        <v>1438</v>
      </c>
      <c r="I217" s="144"/>
      <c r="L217" s="33"/>
      <c r="M217" s="145"/>
      <c r="T217" s="54"/>
      <c r="AT217" s="18" t="s">
        <v>191</v>
      </c>
      <c r="AU217" s="18" t="s">
        <v>87</v>
      </c>
    </row>
    <row r="218" spans="2:63" s="11" customFormat="1" ht="22.9" customHeight="1">
      <c r="B218" s="116"/>
      <c r="D218" s="117" t="s">
        <v>76</v>
      </c>
      <c r="E218" s="126" t="s">
        <v>1272</v>
      </c>
      <c r="F218" s="126" t="s">
        <v>1273</v>
      </c>
      <c r="I218" s="119"/>
      <c r="J218" s="127">
        <f>BK218</f>
        <v>0</v>
      </c>
      <c r="L218" s="116"/>
      <c r="M218" s="121"/>
      <c r="P218" s="122">
        <f>SUM(P219:P237)</f>
        <v>0</v>
      </c>
      <c r="R218" s="122">
        <f>SUM(R219:R237)</f>
        <v>0.158654586</v>
      </c>
      <c r="T218" s="123">
        <f>SUM(T219:T237)</f>
        <v>0</v>
      </c>
      <c r="AR218" s="117" t="s">
        <v>87</v>
      </c>
      <c r="AT218" s="124" t="s">
        <v>76</v>
      </c>
      <c r="AU218" s="124" t="s">
        <v>85</v>
      </c>
      <c r="AY218" s="117" t="s">
        <v>177</v>
      </c>
      <c r="BK218" s="125">
        <f>SUM(BK219:BK237)</f>
        <v>0</v>
      </c>
    </row>
    <row r="219" spans="2:65" s="1" customFormat="1" ht="24.2" customHeight="1">
      <c r="B219" s="128"/>
      <c r="C219" s="129" t="s">
        <v>507</v>
      </c>
      <c r="D219" s="129" t="s">
        <v>180</v>
      </c>
      <c r="E219" s="130" t="s">
        <v>1444</v>
      </c>
      <c r="F219" s="131" t="s">
        <v>1445</v>
      </c>
      <c r="G219" s="132" t="s">
        <v>332</v>
      </c>
      <c r="H219" s="133">
        <v>9.585</v>
      </c>
      <c r="I219" s="134"/>
      <c r="J219" s="135">
        <f>ROUND(I219*H219,2)</f>
        <v>0</v>
      </c>
      <c r="K219" s="131" t="s">
        <v>184</v>
      </c>
      <c r="L219" s="33"/>
      <c r="M219" s="136" t="s">
        <v>3</v>
      </c>
      <c r="N219" s="137" t="s">
        <v>48</v>
      </c>
      <c r="P219" s="138">
        <f>O219*H219</f>
        <v>0</v>
      </c>
      <c r="Q219" s="138">
        <v>5.16E-05</v>
      </c>
      <c r="R219" s="138">
        <f>Q219*H219</f>
        <v>0.0004945860000000001</v>
      </c>
      <c r="S219" s="138">
        <v>0</v>
      </c>
      <c r="T219" s="139">
        <f>S219*H219</f>
        <v>0</v>
      </c>
      <c r="AR219" s="140" t="s">
        <v>237</v>
      </c>
      <c r="AT219" s="140" t="s">
        <v>180</v>
      </c>
      <c r="AU219" s="140" t="s">
        <v>87</v>
      </c>
      <c r="AY219" s="18" t="s">
        <v>177</v>
      </c>
      <c r="BE219" s="141">
        <f>IF(N219="základní",J219,0)</f>
        <v>0</v>
      </c>
      <c r="BF219" s="141">
        <f>IF(N219="snížená",J219,0)</f>
        <v>0</v>
      </c>
      <c r="BG219" s="141">
        <f>IF(N219="zákl. přenesená",J219,0)</f>
        <v>0</v>
      </c>
      <c r="BH219" s="141">
        <f>IF(N219="sníž. přenesená",J219,0)</f>
        <v>0</v>
      </c>
      <c r="BI219" s="141">
        <f>IF(N219="nulová",J219,0)</f>
        <v>0</v>
      </c>
      <c r="BJ219" s="18" t="s">
        <v>85</v>
      </c>
      <c r="BK219" s="141">
        <f>ROUND(I219*H219,2)</f>
        <v>0</v>
      </c>
      <c r="BL219" s="18" t="s">
        <v>237</v>
      </c>
      <c r="BM219" s="140" t="s">
        <v>1446</v>
      </c>
    </row>
    <row r="220" spans="2:47" s="1" customFormat="1" ht="29.25">
      <c r="B220" s="33"/>
      <c r="D220" s="142" t="s">
        <v>187</v>
      </c>
      <c r="F220" s="143" t="s">
        <v>1447</v>
      </c>
      <c r="I220" s="144"/>
      <c r="L220" s="33"/>
      <c r="M220" s="145"/>
      <c r="T220" s="54"/>
      <c r="AT220" s="18" t="s">
        <v>187</v>
      </c>
      <c r="AU220" s="18" t="s">
        <v>87</v>
      </c>
    </row>
    <row r="221" spans="2:47" s="1" customFormat="1" ht="11.25">
      <c r="B221" s="33"/>
      <c r="D221" s="146" t="s">
        <v>189</v>
      </c>
      <c r="F221" s="147" t="s">
        <v>1448</v>
      </c>
      <c r="I221" s="144"/>
      <c r="L221" s="33"/>
      <c r="M221" s="145"/>
      <c r="T221" s="54"/>
      <c r="AT221" s="18" t="s">
        <v>189</v>
      </c>
      <c r="AU221" s="18" t="s">
        <v>87</v>
      </c>
    </row>
    <row r="222" spans="2:47" s="1" customFormat="1" ht="39">
      <c r="B222" s="33"/>
      <c r="D222" s="142" t="s">
        <v>191</v>
      </c>
      <c r="F222" s="148" t="s">
        <v>1449</v>
      </c>
      <c r="I222" s="144"/>
      <c r="L222" s="33"/>
      <c r="M222" s="145"/>
      <c r="T222" s="54"/>
      <c r="AT222" s="18" t="s">
        <v>191</v>
      </c>
      <c r="AU222" s="18" t="s">
        <v>87</v>
      </c>
    </row>
    <row r="223" spans="2:51" s="13" customFormat="1" ht="11.25">
      <c r="B223" s="156"/>
      <c r="D223" s="142" t="s">
        <v>193</v>
      </c>
      <c r="E223" s="157" t="s">
        <v>3</v>
      </c>
      <c r="F223" s="158" t="s">
        <v>1450</v>
      </c>
      <c r="H223" s="157" t="s">
        <v>3</v>
      </c>
      <c r="I223" s="159"/>
      <c r="L223" s="156"/>
      <c r="M223" s="160"/>
      <c r="T223" s="161"/>
      <c r="AT223" s="157" t="s">
        <v>193</v>
      </c>
      <c r="AU223" s="157" t="s">
        <v>87</v>
      </c>
      <c r="AV223" s="13" t="s">
        <v>85</v>
      </c>
      <c r="AW223" s="13" t="s">
        <v>36</v>
      </c>
      <c r="AX223" s="13" t="s">
        <v>77</v>
      </c>
      <c r="AY223" s="157" t="s">
        <v>177</v>
      </c>
    </row>
    <row r="224" spans="2:51" s="12" customFormat="1" ht="11.25">
      <c r="B224" s="149"/>
      <c r="D224" s="142" t="s">
        <v>193</v>
      </c>
      <c r="E224" s="150" t="s">
        <v>3</v>
      </c>
      <c r="F224" s="151" t="s">
        <v>1451</v>
      </c>
      <c r="H224" s="152">
        <v>8.085</v>
      </c>
      <c r="I224" s="153"/>
      <c r="L224" s="149"/>
      <c r="M224" s="154"/>
      <c r="T224" s="155"/>
      <c r="AT224" s="150" t="s">
        <v>193</v>
      </c>
      <c r="AU224" s="150" t="s">
        <v>87</v>
      </c>
      <c r="AV224" s="12" t="s">
        <v>87</v>
      </c>
      <c r="AW224" s="12" t="s">
        <v>36</v>
      </c>
      <c r="AX224" s="12" t="s">
        <v>77</v>
      </c>
      <c r="AY224" s="150" t="s">
        <v>177</v>
      </c>
    </row>
    <row r="225" spans="2:51" s="12" customFormat="1" ht="11.25">
      <c r="B225" s="149"/>
      <c r="D225" s="142" t="s">
        <v>193</v>
      </c>
      <c r="E225" s="150" t="s">
        <v>3</v>
      </c>
      <c r="F225" s="151" t="s">
        <v>1452</v>
      </c>
      <c r="H225" s="152">
        <v>1.5</v>
      </c>
      <c r="I225" s="153"/>
      <c r="L225" s="149"/>
      <c r="M225" s="154"/>
      <c r="T225" s="155"/>
      <c r="AT225" s="150" t="s">
        <v>193</v>
      </c>
      <c r="AU225" s="150" t="s">
        <v>87</v>
      </c>
      <c r="AV225" s="12" t="s">
        <v>87</v>
      </c>
      <c r="AW225" s="12" t="s">
        <v>36</v>
      </c>
      <c r="AX225" s="12" t="s">
        <v>77</v>
      </c>
      <c r="AY225" s="150" t="s">
        <v>177</v>
      </c>
    </row>
    <row r="226" spans="2:51" s="15" customFormat="1" ht="11.25">
      <c r="B226" s="169"/>
      <c r="D226" s="142" t="s">
        <v>193</v>
      </c>
      <c r="E226" s="170" t="s">
        <v>3</v>
      </c>
      <c r="F226" s="171" t="s">
        <v>201</v>
      </c>
      <c r="H226" s="172">
        <v>9.585</v>
      </c>
      <c r="I226" s="173"/>
      <c r="L226" s="169"/>
      <c r="M226" s="174"/>
      <c r="T226" s="175"/>
      <c r="AT226" s="170" t="s">
        <v>193</v>
      </c>
      <c r="AU226" s="170" t="s">
        <v>87</v>
      </c>
      <c r="AV226" s="15" t="s">
        <v>185</v>
      </c>
      <c r="AW226" s="15" t="s">
        <v>36</v>
      </c>
      <c r="AX226" s="15" t="s">
        <v>85</v>
      </c>
      <c r="AY226" s="170" t="s">
        <v>177</v>
      </c>
    </row>
    <row r="227" spans="2:65" s="1" customFormat="1" ht="21.75" customHeight="1">
      <c r="B227" s="128"/>
      <c r="C227" s="179" t="s">
        <v>509</v>
      </c>
      <c r="D227" s="179" t="s">
        <v>484</v>
      </c>
      <c r="E227" s="180" t="s">
        <v>1453</v>
      </c>
      <c r="F227" s="181" t="s">
        <v>1454</v>
      </c>
      <c r="G227" s="182" t="s">
        <v>332</v>
      </c>
      <c r="H227" s="183">
        <v>10.544</v>
      </c>
      <c r="I227" s="184"/>
      <c r="J227" s="185">
        <f>ROUND(I227*H227,2)</f>
        <v>0</v>
      </c>
      <c r="K227" s="181" t="s">
        <v>184</v>
      </c>
      <c r="L227" s="186"/>
      <c r="M227" s="187" t="s">
        <v>3</v>
      </c>
      <c r="N227" s="188" t="s">
        <v>48</v>
      </c>
      <c r="P227" s="138">
        <f>O227*H227</f>
        <v>0</v>
      </c>
      <c r="Q227" s="138">
        <v>0.015</v>
      </c>
      <c r="R227" s="138">
        <f>Q227*H227</f>
        <v>0.15816</v>
      </c>
      <c r="S227" s="138">
        <v>0</v>
      </c>
      <c r="T227" s="139">
        <f>S227*H227</f>
        <v>0</v>
      </c>
      <c r="AR227" s="140" t="s">
        <v>537</v>
      </c>
      <c r="AT227" s="140" t="s">
        <v>484</v>
      </c>
      <c r="AU227" s="140" t="s">
        <v>87</v>
      </c>
      <c r="AY227" s="18" t="s">
        <v>177</v>
      </c>
      <c r="BE227" s="141">
        <f>IF(N227="základní",J227,0)</f>
        <v>0</v>
      </c>
      <c r="BF227" s="141">
        <f>IF(N227="snížená",J227,0)</f>
        <v>0</v>
      </c>
      <c r="BG227" s="141">
        <f>IF(N227="zákl. přenesená",J227,0)</f>
        <v>0</v>
      </c>
      <c r="BH227" s="141">
        <f>IF(N227="sníž. přenesená",J227,0)</f>
        <v>0</v>
      </c>
      <c r="BI227" s="141">
        <f>IF(N227="nulová",J227,0)</f>
        <v>0</v>
      </c>
      <c r="BJ227" s="18" t="s">
        <v>85</v>
      </c>
      <c r="BK227" s="141">
        <f>ROUND(I227*H227,2)</f>
        <v>0</v>
      </c>
      <c r="BL227" s="18" t="s">
        <v>237</v>
      </c>
      <c r="BM227" s="140" t="s">
        <v>1455</v>
      </c>
    </row>
    <row r="228" spans="2:47" s="1" customFormat="1" ht="11.25">
      <c r="B228" s="33"/>
      <c r="D228" s="142" t="s">
        <v>187</v>
      </c>
      <c r="F228" s="143" t="s">
        <v>1454</v>
      </c>
      <c r="I228" s="144"/>
      <c r="L228" s="33"/>
      <c r="M228" s="145"/>
      <c r="T228" s="54"/>
      <c r="AT228" s="18" t="s">
        <v>187</v>
      </c>
      <c r="AU228" s="18" t="s">
        <v>87</v>
      </c>
    </row>
    <row r="229" spans="2:51" s="12" customFormat="1" ht="11.25">
      <c r="B229" s="149"/>
      <c r="D229" s="142" t="s">
        <v>193</v>
      </c>
      <c r="F229" s="151" t="s">
        <v>1456</v>
      </c>
      <c r="H229" s="152">
        <v>10.544</v>
      </c>
      <c r="I229" s="153"/>
      <c r="L229" s="149"/>
      <c r="M229" s="154"/>
      <c r="T229" s="155"/>
      <c r="AT229" s="150" t="s">
        <v>193</v>
      </c>
      <c r="AU229" s="150" t="s">
        <v>87</v>
      </c>
      <c r="AV229" s="12" t="s">
        <v>87</v>
      </c>
      <c r="AW229" s="12" t="s">
        <v>4</v>
      </c>
      <c r="AX229" s="12" t="s">
        <v>85</v>
      </c>
      <c r="AY229" s="150" t="s">
        <v>177</v>
      </c>
    </row>
    <row r="230" spans="2:65" s="1" customFormat="1" ht="24.2" customHeight="1">
      <c r="B230" s="128"/>
      <c r="C230" s="129" t="s">
        <v>512</v>
      </c>
      <c r="D230" s="129" t="s">
        <v>180</v>
      </c>
      <c r="E230" s="130" t="s">
        <v>1457</v>
      </c>
      <c r="F230" s="131" t="s">
        <v>1458</v>
      </c>
      <c r="G230" s="132" t="s">
        <v>183</v>
      </c>
      <c r="H230" s="133">
        <v>0.159</v>
      </c>
      <c r="I230" s="134"/>
      <c r="J230" s="135">
        <f>ROUND(I230*H230,2)</f>
        <v>0</v>
      </c>
      <c r="K230" s="131" t="s">
        <v>184</v>
      </c>
      <c r="L230" s="33"/>
      <c r="M230" s="136" t="s">
        <v>3</v>
      </c>
      <c r="N230" s="137" t="s">
        <v>48</v>
      </c>
      <c r="P230" s="138">
        <f>O230*H230</f>
        <v>0</v>
      </c>
      <c r="Q230" s="138">
        <v>0</v>
      </c>
      <c r="R230" s="138">
        <f>Q230*H230</f>
        <v>0</v>
      </c>
      <c r="S230" s="138">
        <v>0</v>
      </c>
      <c r="T230" s="139">
        <f>S230*H230</f>
        <v>0</v>
      </c>
      <c r="AR230" s="140" t="s">
        <v>237</v>
      </c>
      <c r="AT230" s="140" t="s">
        <v>180</v>
      </c>
      <c r="AU230" s="140" t="s">
        <v>87</v>
      </c>
      <c r="AY230" s="18" t="s">
        <v>177</v>
      </c>
      <c r="BE230" s="141">
        <f>IF(N230="základní",J230,0)</f>
        <v>0</v>
      </c>
      <c r="BF230" s="141">
        <f>IF(N230="snížená",J230,0)</f>
        <v>0</v>
      </c>
      <c r="BG230" s="141">
        <f>IF(N230="zákl. přenesená",J230,0)</f>
        <v>0</v>
      </c>
      <c r="BH230" s="141">
        <f>IF(N230="sníž. přenesená",J230,0)</f>
        <v>0</v>
      </c>
      <c r="BI230" s="141">
        <f>IF(N230="nulová",J230,0)</f>
        <v>0</v>
      </c>
      <c r="BJ230" s="18" t="s">
        <v>85</v>
      </c>
      <c r="BK230" s="141">
        <f>ROUND(I230*H230,2)</f>
        <v>0</v>
      </c>
      <c r="BL230" s="18" t="s">
        <v>237</v>
      </c>
      <c r="BM230" s="140" t="s">
        <v>1459</v>
      </c>
    </row>
    <row r="231" spans="2:47" s="1" customFormat="1" ht="29.25">
      <c r="B231" s="33"/>
      <c r="D231" s="142" t="s">
        <v>187</v>
      </c>
      <c r="F231" s="143" t="s">
        <v>1460</v>
      </c>
      <c r="I231" s="144"/>
      <c r="L231" s="33"/>
      <c r="M231" s="145"/>
      <c r="T231" s="54"/>
      <c r="AT231" s="18" t="s">
        <v>187</v>
      </c>
      <c r="AU231" s="18" t="s">
        <v>87</v>
      </c>
    </row>
    <row r="232" spans="2:47" s="1" customFormat="1" ht="11.25">
      <c r="B232" s="33"/>
      <c r="D232" s="146" t="s">
        <v>189</v>
      </c>
      <c r="F232" s="147" t="s">
        <v>1461</v>
      </c>
      <c r="I232" s="144"/>
      <c r="L232" s="33"/>
      <c r="M232" s="145"/>
      <c r="T232" s="54"/>
      <c r="AT232" s="18" t="s">
        <v>189</v>
      </c>
      <c r="AU232" s="18" t="s">
        <v>87</v>
      </c>
    </row>
    <row r="233" spans="2:47" s="1" customFormat="1" ht="126.75">
      <c r="B233" s="33"/>
      <c r="D233" s="142" t="s">
        <v>191</v>
      </c>
      <c r="F233" s="148" t="s">
        <v>1438</v>
      </c>
      <c r="I233" s="144"/>
      <c r="L233" s="33"/>
      <c r="M233" s="145"/>
      <c r="T233" s="54"/>
      <c r="AT233" s="18" t="s">
        <v>191</v>
      </c>
      <c r="AU233" s="18" t="s">
        <v>87</v>
      </c>
    </row>
    <row r="234" spans="2:65" s="1" customFormat="1" ht="24.2" customHeight="1">
      <c r="B234" s="128"/>
      <c r="C234" s="129" t="s">
        <v>520</v>
      </c>
      <c r="D234" s="129" t="s">
        <v>180</v>
      </c>
      <c r="E234" s="130" t="s">
        <v>1462</v>
      </c>
      <c r="F234" s="131" t="s">
        <v>1463</v>
      </c>
      <c r="G234" s="132" t="s">
        <v>183</v>
      </c>
      <c r="H234" s="133">
        <v>0.159</v>
      </c>
      <c r="I234" s="134"/>
      <c r="J234" s="135">
        <f>ROUND(I234*H234,2)</f>
        <v>0</v>
      </c>
      <c r="K234" s="131" t="s">
        <v>184</v>
      </c>
      <c r="L234" s="33"/>
      <c r="M234" s="136" t="s">
        <v>3</v>
      </c>
      <c r="N234" s="137" t="s">
        <v>48</v>
      </c>
      <c r="P234" s="138">
        <f>O234*H234</f>
        <v>0</v>
      </c>
      <c r="Q234" s="138">
        <v>0</v>
      </c>
      <c r="R234" s="138">
        <f>Q234*H234</f>
        <v>0</v>
      </c>
      <c r="S234" s="138">
        <v>0</v>
      </c>
      <c r="T234" s="139">
        <f>S234*H234</f>
        <v>0</v>
      </c>
      <c r="AR234" s="140" t="s">
        <v>237</v>
      </c>
      <c r="AT234" s="140" t="s">
        <v>180</v>
      </c>
      <c r="AU234" s="140" t="s">
        <v>87</v>
      </c>
      <c r="AY234" s="18" t="s">
        <v>177</v>
      </c>
      <c r="BE234" s="141">
        <f>IF(N234="základní",J234,0)</f>
        <v>0</v>
      </c>
      <c r="BF234" s="141">
        <f>IF(N234="snížená",J234,0)</f>
        <v>0</v>
      </c>
      <c r="BG234" s="141">
        <f>IF(N234="zákl. přenesená",J234,0)</f>
        <v>0</v>
      </c>
      <c r="BH234" s="141">
        <f>IF(N234="sníž. přenesená",J234,0)</f>
        <v>0</v>
      </c>
      <c r="BI234" s="141">
        <f>IF(N234="nulová",J234,0)</f>
        <v>0</v>
      </c>
      <c r="BJ234" s="18" t="s">
        <v>85</v>
      </c>
      <c r="BK234" s="141">
        <f>ROUND(I234*H234,2)</f>
        <v>0</v>
      </c>
      <c r="BL234" s="18" t="s">
        <v>237</v>
      </c>
      <c r="BM234" s="140" t="s">
        <v>1464</v>
      </c>
    </row>
    <row r="235" spans="2:47" s="1" customFormat="1" ht="29.25">
      <c r="B235" s="33"/>
      <c r="D235" s="142" t="s">
        <v>187</v>
      </c>
      <c r="F235" s="143" t="s">
        <v>1465</v>
      </c>
      <c r="I235" s="144"/>
      <c r="L235" s="33"/>
      <c r="M235" s="145"/>
      <c r="T235" s="54"/>
      <c r="AT235" s="18" t="s">
        <v>187</v>
      </c>
      <c r="AU235" s="18" t="s">
        <v>87</v>
      </c>
    </row>
    <row r="236" spans="2:47" s="1" customFormat="1" ht="11.25">
      <c r="B236" s="33"/>
      <c r="D236" s="146" t="s">
        <v>189</v>
      </c>
      <c r="F236" s="147" t="s">
        <v>1466</v>
      </c>
      <c r="I236" s="144"/>
      <c r="L236" s="33"/>
      <c r="M236" s="145"/>
      <c r="T236" s="54"/>
      <c r="AT236" s="18" t="s">
        <v>189</v>
      </c>
      <c r="AU236" s="18" t="s">
        <v>87</v>
      </c>
    </row>
    <row r="237" spans="2:47" s="1" customFormat="1" ht="126.75">
      <c r="B237" s="33"/>
      <c r="D237" s="142" t="s">
        <v>191</v>
      </c>
      <c r="F237" s="148" t="s">
        <v>1438</v>
      </c>
      <c r="I237" s="144"/>
      <c r="L237" s="33"/>
      <c r="M237" s="145"/>
      <c r="T237" s="54"/>
      <c r="AT237" s="18" t="s">
        <v>191</v>
      </c>
      <c r="AU237" s="18" t="s">
        <v>87</v>
      </c>
    </row>
    <row r="238" spans="2:63" s="11" customFormat="1" ht="25.9" customHeight="1">
      <c r="B238" s="116"/>
      <c r="D238" s="117" t="s">
        <v>76</v>
      </c>
      <c r="E238" s="118" t="s">
        <v>313</v>
      </c>
      <c r="F238" s="118" t="s">
        <v>314</v>
      </c>
      <c r="I238" s="119"/>
      <c r="J238" s="120">
        <f>BK238</f>
        <v>0</v>
      </c>
      <c r="L238" s="116"/>
      <c r="M238" s="121"/>
      <c r="P238" s="122">
        <f>SUM(P239:P241)</f>
        <v>0</v>
      </c>
      <c r="R238" s="122">
        <f>SUM(R239:R241)</f>
        <v>0</v>
      </c>
      <c r="T238" s="123">
        <f>SUM(T239:T241)</f>
        <v>0</v>
      </c>
      <c r="AR238" s="117" t="s">
        <v>185</v>
      </c>
      <c r="AT238" s="124" t="s">
        <v>76</v>
      </c>
      <c r="AU238" s="124" t="s">
        <v>77</v>
      </c>
      <c r="AY238" s="117" t="s">
        <v>177</v>
      </c>
      <c r="BK238" s="125">
        <f>SUM(BK239:BK241)</f>
        <v>0</v>
      </c>
    </row>
    <row r="239" spans="2:65" s="1" customFormat="1" ht="16.5" customHeight="1">
      <c r="B239" s="128"/>
      <c r="C239" s="129" t="s">
        <v>527</v>
      </c>
      <c r="D239" s="129" t="s">
        <v>180</v>
      </c>
      <c r="E239" s="130" t="s">
        <v>528</v>
      </c>
      <c r="F239" s="131" t="s">
        <v>529</v>
      </c>
      <c r="G239" s="132" t="s">
        <v>305</v>
      </c>
      <c r="H239" s="133">
        <v>100</v>
      </c>
      <c r="I239" s="134"/>
      <c r="J239" s="135">
        <f>ROUND(I239*H239,2)</f>
        <v>0</v>
      </c>
      <c r="K239" s="131" t="s">
        <v>184</v>
      </c>
      <c r="L239" s="33"/>
      <c r="M239" s="136" t="s">
        <v>3</v>
      </c>
      <c r="N239" s="137" t="s">
        <v>48</v>
      </c>
      <c r="P239" s="138">
        <f>O239*H239</f>
        <v>0</v>
      </c>
      <c r="Q239" s="138">
        <v>0</v>
      </c>
      <c r="R239" s="138">
        <f>Q239*H239</f>
        <v>0</v>
      </c>
      <c r="S239" s="138">
        <v>0</v>
      </c>
      <c r="T239" s="139">
        <f>S239*H239</f>
        <v>0</v>
      </c>
      <c r="AR239" s="140" t="s">
        <v>318</v>
      </c>
      <c r="AT239" s="140" t="s">
        <v>180</v>
      </c>
      <c r="AU239" s="140" t="s">
        <v>85</v>
      </c>
      <c r="AY239" s="18" t="s">
        <v>177</v>
      </c>
      <c r="BE239" s="141">
        <f>IF(N239="základní",J239,0)</f>
        <v>0</v>
      </c>
      <c r="BF239" s="141">
        <f>IF(N239="snížená",J239,0)</f>
        <v>0</v>
      </c>
      <c r="BG239" s="141">
        <f>IF(N239="zákl. přenesená",J239,0)</f>
        <v>0</v>
      </c>
      <c r="BH239" s="141">
        <f>IF(N239="sníž. přenesená",J239,0)</f>
        <v>0</v>
      </c>
      <c r="BI239" s="141">
        <f>IF(N239="nulová",J239,0)</f>
        <v>0</v>
      </c>
      <c r="BJ239" s="18" t="s">
        <v>85</v>
      </c>
      <c r="BK239" s="141">
        <f>ROUND(I239*H239,2)</f>
        <v>0</v>
      </c>
      <c r="BL239" s="18" t="s">
        <v>318</v>
      </c>
      <c r="BM239" s="140" t="s">
        <v>1467</v>
      </c>
    </row>
    <row r="240" spans="2:47" s="1" customFormat="1" ht="19.5">
      <c r="B240" s="33"/>
      <c r="D240" s="142" t="s">
        <v>187</v>
      </c>
      <c r="F240" s="143" t="s">
        <v>531</v>
      </c>
      <c r="I240" s="144"/>
      <c r="L240" s="33"/>
      <c r="M240" s="145"/>
      <c r="T240" s="54"/>
      <c r="AT240" s="18" t="s">
        <v>187</v>
      </c>
      <c r="AU240" s="18" t="s">
        <v>85</v>
      </c>
    </row>
    <row r="241" spans="2:47" s="1" customFormat="1" ht="11.25">
      <c r="B241" s="33"/>
      <c r="D241" s="146" t="s">
        <v>189</v>
      </c>
      <c r="F241" s="147" t="s">
        <v>532</v>
      </c>
      <c r="I241" s="144"/>
      <c r="L241" s="33"/>
      <c r="M241" s="145"/>
      <c r="T241" s="54"/>
      <c r="AT241" s="18" t="s">
        <v>189</v>
      </c>
      <c r="AU241" s="18" t="s">
        <v>85</v>
      </c>
    </row>
    <row r="242" spans="2:63" s="11" customFormat="1" ht="25.9" customHeight="1">
      <c r="B242" s="116"/>
      <c r="D242" s="117" t="s">
        <v>76</v>
      </c>
      <c r="E242" s="118" t="s">
        <v>533</v>
      </c>
      <c r="F242" s="118" t="s">
        <v>534</v>
      </c>
      <c r="I242" s="119"/>
      <c r="J242" s="120">
        <f>BK242</f>
        <v>0</v>
      </c>
      <c r="L242" s="116"/>
      <c r="M242" s="121"/>
      <c r="P242" s="122">
        <f>P243</f>
        <v>0</v>
      </c>
      <c r="R242" s="122">
        <f>R243</f>
        <v>0</v>
      </c>
      <c r="T242" s="123">
        <f>T243</f>
        <v>0</v>
      </c>
      <c r="AR242" s="117" t="s">
        <v>200</v>
      </c>
      <c r="AT242" s="124" t="s">
        <v>76</v>
      </c>
      <c r="AU242" s="124" t="s">
        <v>77</v>
      </c>
      <c r="AY242" s="117" t="s">
        <v>177</v>
      </c>
      <c r="BK242" s="125">
        <f>BK243</f>
        <v>0</v>
      </c>
    </row>
    <row r="243" spans="2:63" s="11" customFormat="1" ht="22.9" customHeight="1">
      <c r="B243" s="116"/>
      <c r="D243" s="117" t="s">
        <v>76</v>
      </c>
      <c r="E243" s="126" t="s">
        <v>535</v>
      </c>
      <c r="F243" s="126" t="s">
        <v>536</v>
      </c>
      <c r="I243" s="119"/>
      <c r="J243" s="127">
        <f>BK243</f>
        <v>0</v>
      </c>
      <c r="L243" s="116"/>
      <c r="M243" s="121"/>
      <c r="P243" s="122">
        <f>SUM(P244:P249)</f>
        <v>0</v>
      </c>
      <c r="R243" s="122">
        <f>SUM(R244:R249)</f>
        <v>0</v>
      </c>
      <c r="T243" s="123">
        <f>SUM(T244:T249)</f>
        <v>0</v>
      </c>
      <c r="AR243" s="117" t="s">
        <v>200</v>
      </c>
      <c r="AT243" s="124" t="s">
        <v>76</v>
      </c>
      <c r="AU243" s="124" t="s">
        <v>85</v>
      </c>
      <c r="AY243" s="117" t="s">
        <v>177</v>
      </c>
      <c r="BK243" s="125">
        <f>SUM(BK244:BK249)</f>
        <v>0</v>
      </c>
    </row>
    <row r="244" spans="2:65" s="1" customFormat="1" ht="16.5" customHeight="1">
      <c r="B244" s="128"/>
      <c r="C244" s="129" t="s">
        <v>537</v>
      </c>
      <c r="D244" s="129" t="s">
        <v>180</v>
      </c>
      <c r="E244" s="130" t="s">
        <v>1468</v>
      </c>
      <c r="F244" s="131" t="s">
        <v>1469</v>
      </c>
      <c r="G244" s="132" t="s">
        <v>305</v>
      </c>
      <c r="H244" s="133">
        <v>1</v>
      </c>
      <c r="I244" s="134"/>
      <c r="J244" s="135">
        <f>ROUND(I244*H244,2)</f>
        <v>0</v>
      </c>
      <c r="K244" s="131" t="s">
        <v>184</v>
      </c>
      <c r="L244" s="33"/>
      <c r="M244" s="136" t="s">
        <v>3</v>
      </c>
      <c r="N244" s="137" t="s">
        <v>48</v>
      </c>
      <c r="P244" s="138">
        <f>O244*H244</f>
        <v>0</v>
      </c>
      <c r="Q244" s="138">
        <v>0</v>
      </c>
      <c r="R244" s="138">
        <f>Q244*H244</f>
        <v>0</v>
      </c>
      <c r="S244" s="138">
        <v>0</v>
      </c>
      <c r="T244" s="139">
        <f>S244*H244</f>
        <v>0</v>
      </c>
      <c r="AR244" s="140" t="s">
        <v>540</v>
      </c>
      <c r="AT244" s="140" t="s">
        <v>180</v>
      </c>
      <c r="AU244" s="140" t="s">
        <v>87</v>
      </c>
      <c r="AY244" s="18" t="s">
        <v>177</v>
      </c>
      <c r="BE244" s="141">
        <f>IF(N244="základní",J244,0)</f>
        <v>0</v>
      </c>
      <c r="BF244" s="141">
        <f>IF(N244="snížená",J244,0)</f>
        <v>0</v>
      </c>
      <c r="BG244" s="141">
        <f>IF(N244="zákl. přenesená",J244,0)</f>
        <v>0</v>
      </c>
      <c r="BH244" s="141">
        <f>IF(N244="sníž. přenesená",J244,0)</f>
        <v>0</v>
      </c>
      <c r="BI244" s="141">
        <f>IF(N244="nulová",J244,0)</f>
        <v>0</v>
      </c>
      <c r="BJ244" s="18" t="s">
        <v>85</v>
      </c>
      <c r="BK244" s="141">
        <f>ROUND(I244*H244,2)</f>
        <v>0</v>
      </c>
      <c r="BL244" s="18" t="s">
        <v>540</v>
      </c>
      <c r="BM244" s="140" t="s">
        <v>1470</v>
      </c>
    </row>
    <row r="245" spans="2:47" s="1" customFormat="1" ht="11.25">
      <c r="B245" s="33"/>
      <c r="D245" s="142" t="s">
        <v>187</v>
      </c>
      <c r="F245" s="143" t="s">
        <v>1469</v>
      </c>
      <c r="I245" s="144"/>
      <c r="L245" s="33"/>
      <c r="M245" s="145"/>
      <c r="T245" s="54"/>
      <c r="AT245" s="18" t="s">
        <v>187</v>
      </c>
      <c r="AU245" s="18" t="s">
        <v>87</v>
      </c>
    </row>
    <row r="246" spans="2:47" s="1" customFormat="1" ht="11.25">
      <c r="B246" s="33"/>
      <c r="D246" s="146" t="s">
        <v>189</v>
      </c>
      <c r="F246" s="147" t="s">
        <v>1471</v>
      </c>
      <c r="I246" s="144"/>
      <c r="L246" s="33"/>
      <c r="M246" s="145"/>
      <c r="T246" s="54"/>
      <c r="AT246" s="18" t="s">
        <v>189</v>
      </c>
      <c r="AU246" s="18" t="s">
        <v>87</v>
      </c>
    </row>
    <row r="247" spans="2:51" s="13" customFormat="1" ht="33.75">
      <c r="B247" s="156"/>
      <c r="D247" s="142" t="s">
        <v>193</v>
      </c>
      <c r="E247" s="157" t="s">
        <v>3</v>
      </c>
      <c r="F247" s="158" t="s">
        <v>1472</v>
      </c>
      <c r="H247" s="157" t="s">
        <v>3</v>
      </c>
      <c r="I247" s="159"/>
      <c r="L247" s="156"/>
      <c r="M247" s="160"/>
      <c r="T247" s="161"/>
      <c r="AT247" s="157" t="s">
        <v>193</v>
      </c>
      <c r="AU247" s="157" t="s">
        <v>87</v>
      </c>
      <c r="AV247" s="13" t="s">
        <v>85</v>
      </c>
      <c r="AW247" s="13" t="s">
        <v>36</v>
      </c>
      <c r="AX247" s="13" t="s">
        <v>77</v>
      </c>
      <c r="AY247" s="157" t="s">
        <v>177</v>
      </c>
    </row>
    <row r="248" spans="2:51" s="13" customFormat="1" ht="22.5">
      <c r="B248" s="156"/>
      <c r="D248" s="142" t="s">
        <v>193</v>
      </c>
      <c r="E248" s="157" t="s">
        <v>3</v>
      </c>
      <c r="F248" s="158" t="s">
        <v>1473</v>
      </c>
      <c r="H248" s="157" t="s">
        <v>3</v>
      </c>
      <c r="I248" s="159"/>
      <c r="L248" s="156"/>
      <c r="M248" s="160"/>
      <c r="T248" s="161"/>
      <c r="AT248" s="157" t="s">
        <v>193</v>
      </c>
      <c r="AU248" s="157" t="s">
        <v>87</v>
      </c>
      <c r="AV248" s="13" t="s">
        <v>85</v>
      </c>
      <c r="AW248" s="13" t="s">
        <v>36</v>
      </c>
      <c r="AX248" s="13" t="s">
        <v>77</v>
      </c>
      <c r="AY248" s="157" t="s">
        <v>177</v>
      </c>
    </row>
    <row r="249" spans="2:51" s="12" customFormat="1" ht="11.25">
      <c r="B249" s="149"/>
      <c r="D249" s="142" t="s">
        <v>193</v>
      </c>
      <c r="E249" s="150" t="s">
        <v>3</v>
      </c>
      <c r="F249" s="151" t="s">
        <v>85</v>
      </c>
      <c r="H249" s="152">
        <v>1</v>
      </c>
      <c r="I249" s="153"/>
      <c r="L249" s="149"/>
      <c r="M249" s="176"/>
      <c r="N249" s="177"/>
      <c r="O249" s="177"/>
      <c r="P249" s="177"/>
      <c r="Q249" s="177"/>
      <c r="R249" s="177"/>
      <c r="S249" s="177"/>
      <c r="T249" s="178"/>
      <c r="AT249" s="150" t="s">
        <v>193</v>
      </c>
      <c r="AU249" s="150" t="s">
        <v>87</v>
      </c>
      <c r="AV249" s="12" t="s">
        <v>87</v>
      </c>
      <c r="AW249" s="12" t="s">
        <v>36</v>
      </c>
      <c r="AX249" s="12" t="s">
        <v>85</v>
      </c>
      <c r="AY249" s="150" t="s">
        <v>177</v>
      </c>
    </row>
    <row r="250" spans="2:12" s="1" customFormat="1" ht="6.95" customHeight="1">
      <c r="B250" s="42"/>
      <c r="C250" s="43"/>
      <c r="D250" s="43"/>
      <c r="E250" s="43"/>
      <c r="F250" s="43"/>
      <c r="G250" s="43"/>
      <c r="H250" s="43"/>
      <c r="I250" s="43"/>
      <c r="J250" s="43"/>
      <c r="K250" s="43"/>
      <c r="L250" s="33"/>
    </row>
  </sheetData>
  <autoFilter ref="C90:K249"/>
  <mergeCells count="9">
    <mergeCell ref="E50:H50"/>
    <mergeCell ref="E81:H81"/>
    <mergeCell ref="E83:H83"/>
    <mergeCell ref="L2:V2"/>
    <mergeCell ref="E7:H7"/>
    <mergeCell ref="E9:H9"/>
    <mergeCell ref="E18:H18"/>
    <mergeCell ref="E27:H27"/>
    <mergeCell ref="E48:H48"/>
  </mergeCells>
  <hyperlinks>
    <hyperlink ref="F96" r:id="rId1" display="https://podminky.urs.cz/item/CS_URS_2022_02/311272031"/>
    <hyperlink ref="F103" r:id="rId2" display="https://podminky.urs.cz/item/CS_URS_2022_02/631319013"/>
    <hyperlink ref="F107" r:id="rId3" display="https://podminky.urs.cz/item/CS_URS_2022_02/631319185"/>
    <hyperlink ref="F111" r:id="rId4" display="https://podminky.urs.cz/item/CS_URS_2022_02/631342132"/>
    <hyperlink ref="F118" r:id="rId5" display="https://podminky.urs.cz/item/CS_URS_2022_02/634661111"/>
    <hyperlink ref="F122" r:id="rId6" display="https://podminky.urs.cz/item/CS_URS_2022_02/634911112"/>
    <hyperlink ref="F130" r:id="rId7" display="https://podminky.urs.cz/item/CS_URS_2022_02/949101111"/>
    <hyperlink ref="F136" r:id="rId8" display="https://podminky.urs.cz/item/CS_URS_2022_02/952901111"/>
    <hyperlink ref="F140" r:id="rId9" display="https://podminky.urs.cz/item/CS_URS_2022_02/952902121"/>
    <hyperlink ref="F146" r:id="rId10" display="https://podminky.urs.cz/item/CS_URS_2022_02/952902131"/>
    <hyperlink ref="F150" r:id="rId11" display="https://podminky.urs.cz/item/CS_URS_2022_02/977151117"/>
    <hyperlink ref="F156" r:id="rId12" display="https://podminky.urs.cz/item/CS_URS_2022_02/977151119"/>
    <hyperlink ref="F162" r:id="rId13" display="https://podminky.urs.cz/item/CS_URS_2022_02/977151123"/>
    <hyperlink ref="F169" r:id="rId14" display="https://podminky.urs.cz/item/CS_URS_2022_02/997013213"/>
    <hyperlink ref="F173" r:id="rId15" display="https://podminky.urs.cz/item/CS_URS_2022_02/997013219"/>
    <hyperlink ref="F178" r:id="rId16" display="https://podminky.urs.cz/item/CS_URS_2022_02/997013501"/>
    <hyperlink ref="F182" r:id="rId17" display="https://podminky.urs.cz/item/CS_URS_2022_02/997013509"/>
    <hyperlink ref="F187" r:id="rId18" display="https://podminky.urs.cz/item/CS_URS_2022_02/997013871"/>
    <hyperlink ref="F192" r:id="rId19" display="https://podminky.urs.cz/item/CS_URS_2022_02/998018002"/>
    <hyperlink ref="F198" r:id="rId20" display="https://podminky.urs.cz/item/CS_URS_2022_02/712311101"/>
    <hyperlink ref="F205" r:id="rId21" display="https://podminky.urs.cz/item/CS_URS_2022_02/712341559"/>
    <hyperlink ref="F212" r:id="rId22" display="https://podminky.urs.cz/item/CS_URS_2022_02/998712102"/>
    <hyperlink ref="F216" r:id="rId23" display="https://podminky.urs.cz/item/CS_URS_2022_02/998712181"/>
    <hyperlink ref="F221" r:id="rId24" display="https://podminky.urs.cz/item/CS_URS_2022_02/762523963"/>
    <hyperlink ref="F232" r:id="rId25" display="https://podminky.urs.cz/item/CS_URS_2022_02/998762102"/>
    <hyperlink ref="F236" r:id="rId26" display="https://podminky.urs.cz/item/CS_URS_2022_02/998762181"/>
    <hyperlink ref="F241" r:id="rId27" display="https://podminky.urs.cz/item/CS_URS_2022_02/HZS1292"/>
    <hyperlink ref="F246" r:id="rId28" display="https://podminky.urs.cz/item/CS_URS_2022_02/01324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3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105</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1474</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ROUND(J86,2)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ROUND((SUM(BE86:BE238)),2)</f>
        <v>0</v>
      </c>
      <c r="I33" s="90">
        <v>0.21</v>
      </c>
      <c r="J33" s="89">
        <f>ROUND(((SUM(BE86:BE238))*I33),2)</f>
        <v>0</v>
      </c>
      <c r="L33" s="33"/>
    </row>
    <row r="34" spans="2:12" s="1" customFormat="1" ht="14.45" customHeight="1">
      <c r="B34" s="33"/>
      <c r="E34" s="28" t="s">
        <v>49</v>
      </c>
      <c r="F34" s="89">
        <f>ROUND((SUM(BF86:BF238)),2)</f>
        <v>0</v>
      </c>
      <c r="I34" s="90">
        <v>0.15</v>
      </c>
      <c r="J34" s="89">
        <f>ROUND(((SUM(BF86:BF238))*I34),2)</f>
        <v>0</v>
      </c>
      <c r="L34" s="33"/>
    </row>
    <row r="35" spans="2:12" s="1" customFormat="1" ht="14.45" customHeight="1" hidden="1">
      <c r="B35" s="33"/>
      <c r="E35" s="28" t="s">
        <v>50</v>
      </c>
      <c r="F35" s="89">
        <f>ROUND((SUM(BG86:BG238)),2)</f>
        <v>0</v>
      </c>
      <c r="I35" s="90">
        <v>0.21</v>
      </c>
      <c r="J35" s="89">
        <f>0</f>
        <v>0</v>
      </c>
      <c r="L35" s="33"/>
    </row>
    <row r="36" spans="2:12" s="1" customFormat="1" ht="14.45" customHeight="1" hidden="1">
      <c r="B36" s="33"/>
      <c r="E36" s="28" t="s">
        <v>51</v>
      </c>
      <c r="F36" s="89">
        <f>ROUND((SUM(BH86:BH238)),2)</f>
        <v>0</v>
      </c>
      <c r="I36" s="90">
        <v>0.15</v>
      </c>
      <c r="J36" s="89">
        <f>0</f>
        <v>0</v>
      </c>
      <c r="L36" s="33"/>
    </row>
    <row r="37" spans="2:12" s="1" customFormat="1" ht="14.45" customHeight="1" hidden="1">
      <c r="B37" s="33"/>
      <c r="E37" s="28" t="s">
        <v>52</v>
      </c>
      <c r="F37" s="89">
        <f>ROUND((SUM(BI86:BI238)),2)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7 - Vybourání stávající dispozice 2. NP</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J86</f>
        <v>0</v>
      </c>
      <c r="L59" s="33"/>
      <c r="AU59" s="18" t="s">
        <v>152</v>
      </c>
    </row>
    <row r="60" spans="2:12" s="8" customFormat="1" ht="24.95" customHeight="1">
      <c r="B60" s="100"/>
      <c r="D60" s="101" t="s">
        <v>153</v>
      </c>
      <c r="E60" s="102"/>
      <c r="F60" s="102"/>
      <c r="G60" s="102"/>
      <c r="H60" s="102"/>
      <c r="I60" s="102"/>
      <c r="J60" s="103">
        <f>J87</f>
        <v>0</v>
      </c>
      <c r="L60" s="100"/>
    </row>
    <row r="61" spans="2:12" s="9" customFormat="1" ht="19.9" customHeight="1">
      <c r="B61" s="104"/>
      <c r="D61" s="105" t="s">
        <v>325</v>
      </c>
      <c r="E61" s="106"/>
      <c r="F61" s="106"/>
      <c r="G61" s="106"/>
      <c r="H61" s="106"/>
      <c r="I61" s="106"/>
      <c r="J61" s="107">
        <f>J88</f>
        <v>0</v>
      </c>
      <c r="L61" s="104"/>
    </row>
    <row r="62" spans="2:12" s="9" customFormat="1" ht="19.9" customHeight="1">
      <c r="B62" s="104"/>
      <c r="D62" s="105" t="s">
        <v>154</v>
      </c>
      <c r="E62" s="106"/>
      <c r="F62" s="106"/>
      <c r="G62" s="106"/>
      <c r="H62" s="106"/>
      <c r="I62" s="106"/>
      <c r="J62" s="107">
        <f>J198</f>
        <v>0</v>
      </c>
      <c r="L62" s="104"/>
    </row>
    <row r="63" spans="2:12" s="9" customFormat="1" ht="19.9" customHeight="1">
      <c r="B63" s="104"/>
      <c r="D63" s="105" t="s">
        <v>326</v>
      </c>
      <c r="E63" s="106"/>
      <c r="F63" s="106"/>
      <c r="G63" s="106"/>
      <c r="H63" s="106"/>
      <c r="I63" s="106"/>
      <c r="J63" s="107">
        <f>J221</f>
        <v>0</v>
      </c>
      <c r="L63" s="104"/>
    </row>
    <row r="64" spans="2:12" s="8" customFormat="1" ht="24.95" customHeight="1">
      <c r="B64" s="100"/>
      <c r="D64" s="101" t="s">
        <v>155</v>
      </c>
      <c r="E64" s="102"/>
      <c r="F64" s="102"/>
      <c r="G64" s="102"/>
      <c r="H64" s="102"/>
      <c r="I64" s="102"/>
      <c r="J64" s="103">
        <f>J226</f>
        <v>0</v>
      </c>
      <c r="L64" s="100"/>
    </row>
    <row r="65" spans="2:12" s="9" customFormat="1" ht="19.9" customHeight="1">
      <c r="B65" s="104"/>
      <c r="D65" s="105" t="s">
        <v>1475</v>
      </c>
      <c r="E65" s="106"/>
      <c r="F65" s="106"/>
      <c r="G65" s="106"/>
      <c r="H65" s="106"/>
      <c r="I65" s="106"/>
      <c r="J65" s="107">
        <f>J227</f>
        <v>0</v>
      </c>
      <c r="L65" s="104"/>
    </row>
    <row r="66" spans="2:12" s="8" customFormat="1" ht="24.95" customHeight="1">
      <c r="B66" s="100"/>
      <c r="D66" s="101" t="s">
        <v>161</v>
      </c>
      <c r="E66" s="102"/>
      <c r="F66" s="102"/>
      <c r="G66" s="102"/>
      <c r="H66" s="102"/>
      <c r="I66" s="102"/>
      <c r="J66" s="103">
        <f>J235</f>
        <v>0</v>
      </c>
      <c r="L66" s="100"/>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162</v>
      </c>
      <c r="L73" s="33"/>
    </row>
    <row r="74" spans="2:12" s="1" customFormat="1" ht="6.95" customHeight="1">
      <c r="B74" s="33"/>
      <c r="L74" s="33"/>
    </row>
    <row r="75" spans="2:12" s="1" customFormat="1" ht="12" customHeight="1">
      <c r="B75" s="33"/>
      <c r="C75" s="28" t="s">
        <v>17</v>
      </c>
      <c r="L75" s="33"/>
    </row>
    <row r="76" spans="2:12" s="1" customFormat="1" ht="16.5" customHeight="1">
      <c r="B76" s="33"/>
      <c r="E76" s="315" t="str">
        <f>E7</f>
        <v>ZŠ P. HOLÉHO - PŘESTAVBA PLAVECKÉHO PAVILONU</v>
      </c>
      <c r="F76" s="316"/>
      <c r="G76" s="316"/>
      <c r="H76" s="316"/>
      <c r="L76" s="33"/>
    </row>
    <row r="77" spans="2:12" s="1" customFormat="1" ht="12" customHeight="1">
      <c r="B77" s="33"/>
      <c r="C77" s="28" t="s">
        <v>146</v>
      </c>
      <c r="L77" s="33"/>
    </row>
    <row r="78" spans="2:12" s="1" customFormat="1" ht="16.5" customHeight="1">
      <c r="B78" s="33"/>
      <c r="E78" s="281" t="str">
        <f>E9</f>
        <v>E 7 - Vybourání stávající dispozice 2. NP</v>
      </c>
      <c r="F78" s="317"/>
      <c r="G78" s="317"/>
      <c r="H78" s="317"/>
      <c r="L78" s="33"/>
    </row>
    <row r="79" spans="2:12" s="1" customFormat="1" ht="6.95" customHeight="1">
      <c r="B79" s="33"/>
      <c r="L79" s="33"/>
    </row>
    <row r="80" spans="2:12" s="1" customFormat="1" ht="12" customHeight="1">
      <c r="B80" s="33"/>
      <c r="C80" s="28" t="s">
        <v>21</v>
      </c>
      <c r="F80" s="26" t="str">
        <f>F12</f>
        <v>Prokopa Holého 2632, Louny, 440 01</v>
      </c>
      <c r="I80" s="28" t="s">
        <v>23</v>
      </c>
      <c r="J80" s="50" t="str">
        <f>IF(J12="","",J12)</f>
        <v>21. 9. 2022</v>
      </c>
      <c r="L80" s="33"/>
    </row>
    <row r="81" spans="2:12" s="1" customFormat="1" ht="6.95" customHeight="1">
      <c r="B81" s="33"/>
      <c r="L81" s="33"/>
    </row>
    <row r="82" spans="2:12" s="1" customFormat="1" ht="15.2" customHeight="1">
      <c r="B82" s="33"/>
      <c r="C82" s="28" t="s">
        <v>25</v>
      </c>
      <c r="F82" s="26" t="str">
        <f>E15</f>
        <v>Město Louny</v>
      </c>
      <c r="I82" s="28" t="s">
        <v>32</v>
      </c>
      <c r="J82" s="31" t="str">
        <f>E21</f>
        <v>RYSIK Design s.r.o.</v>
      </c>
      <c r="L82" s="33"/>
    </row>
    <row r="83" spans="2:12" s="1" customFormat="1" ht="25.7" customHeight="1">
      <c r="B83" s="33"/>
      <c r="C83" s="28" t="s">
        <v>30</v>
      </c>
      <c r="F83" s="26" t="str">
        <f>IF(E18="","",E18)</f>
        <v>Vyplň údaj</v>
      </c>
      <c r="I83" s="28" t="s">
        <v>37</v>
      </c>
      <c r="J83" s="31" t="str">
        <f>E24</f>
        <v>ing. Kateřina Tumpachová</v>
      </c>
      <c r="L83" s="33"/>
    </row>
    <row r="84" spans="2:12" s="1" customFormat="1" ht="10.35" customHeight="1">
      <c r="B84" s="33"/>
      <c r="L84" s="33"/>
    </row>
    <row r="85" spans="2:20" s="10" customFormat="1" ht="29.25" customHeight="1">
      <c r="B85" s="108"/>
      <c r="C85" s="109" t="s">
        <v>163</v>
      </c>
      <c r="D85" s="110" t="s">
        <v>62</v>
      </c>
      <c r="E85" s="110" t="s">
        <v>58</v>
      </c>
      <c r="F85" s="110" t="s">
        <v>59</v>
      </c>
      <c r="G85" s="110" t="s">
        <v>164</v>
      </c>
      <c r="H85" s="110" t="s">
        <v>165</v>
      </c>
      <c r="I85" s="110" t="s">
        <v>166</v>
      </c>
      <c r="J85" s="110" t="s">
        <v>151</v>
      </c>
      <c r="K85" s="111" t="s">
        <v>167</v>
      </c>
      <c r="L85" s="108"/>
      <c r="M85" s="57" t="s">
        <v>3</v>
      </c>
      <c r="N85" s="58" t="s">
        <v>47</v>
      </c>
      <c r="O85" s="58" t="s">
        <v>168</v>
      </c>
      <c r="P85" s="58" t="s">
        <v>169</v>
      </c>
      <c r="Q85" s="58" t="s">
        <v>170</v>
      </c>
      <c r="R85" s="58" t="s">
        <v>171</v>
      </c>
      <c r="S85" s="58" t="s">
        <v>172</v>
      </c>
      <c r="T85" s="59" t="s">
        <v>173</v>
      </c>
    </row>
    <row r="86" spans="2:63" s="1" customFormat="1" ht="22.9" customHeight="1">
      <c r="B86" s="33"/>
      <c r="C86" s="62" t="s">
        <v>174</v>
      </c>
      <c r="J86" s="112">
        <f>BK86</f>
        <v>0</v>
      </c>
      <c r="L86" s="33"/>
      <c r="M86" s="60"/>
      <c r="N86" s="51"/>
      <c r="O86" s="51"/>
      <c r="P86" s="113">
        <f>P87+P226+P235</f>
        <v>0</v>
      </c>
      <c r="Q86" s="51"/>
      <c r="R86" s="113">
        <f>R87+R226+R235</f>
        <v>8.16482238591</v>
      </c>
      <c r="S86" s="51"/>
      <c r="T86" s="114">
        <f>T87+T226+T235</f>
        <v>277.63042900000005</v>
      </c>
      <c r="AT86" s="18" t="s">
        <v>76</v>
      </c>
      <c r="AU86" s="18" t="s">
        <v>152</v>
      </c>
      <c r="BK86" s="115">
        <f>BK87+BK226+BK235</f>
        <v>0</v>
      </c>
    </row>
    <row r="87" spans="2:63" s="11" customFormat="1" ht="25.9" customHeight="1">
      <c r="B87" s="116"/>
      <c r="D87" s="117" t="s">
        <v>76</v>
      </c>
      <c r="E87" s="118" t="s">
        <v>175</v>
      </c>
      <c r="F87" s="118" t="s">
        <v>176</v>
      </c>
      <c r="I87" s="119"/>
      <c r="J87" s="120">
        <f>BK87</f>
        <v>0</v>
      </c>
      <c r="L87" s="116"/>
      <c r="M87" s="121"/>
      <c r="P87" s="122">
        <f>P88+P198+P221</f>
        <v>0</v>
      </c>
      <c r="R87" s="122">
        <f>R88+R198+R221</f>
        <v>8.16482238591</v>
      </c>
      <c r="T87" s="123">
        <f>T88+T198+T221</f>
        <v>276.7424290000001</v>
      </c>
      <c r="AR87" s="117" t="s">
        <v>85</v>
      </c>
      <c r="AT87" s="124" t="s">
        <v>76</v>
      </c>
      <c r="AU87" s="124" t="s">
        <v>77</v>
      </c>
      <c r="AY87" s="117" t="s">
        <v>177</v>
      </c>
      <c r="BK87" s="125">
        <f>BK88+BK198+BK221</f>
        <v>0</v>
      </c>
    </row>
    <row r="88" spans="2:63" s="11" customFormat="1" ht="22.9" customHeight="1">
      <c r="B88" s="116"/>
      <c r="D88" s="117" t="s">
        <v>76</v>
      </c>
      <c r="E88" s="126" t="s">
        <v>252</v>
      </c>
      <c r="F88" s="126" t="s">
        <v>329</v>
      </c>
      <c r="I88" s="119"/>
      <c r="J88" s="127">
        <f>BK88</f>
        <v>0</v>
      </c>
      <c r="L88" s="116"/>
      <c r="M88" s="121"/>
      <c r="P88" s="122">
        <f>SUM(P89:P197)</f>
        <v>0</v>
      </c>
      <c r="R88" s="122">
        <f>SUM(R89:R197)</f>
        <v>8.16482238591</v>
      </c>
      <c r="T88" s="123">
        <f>SUM(T89:T197)</f>
        <v>276.7424290000001</v>
      </c>
      <c r="AR88" s="117" t="s">
        <v>85</v>
      </c>
      <c r="AT88" s="124" t="s">
        <v>76</v>
      </c>
      <c r="AU88" s="124" t="s">
        <v>85</v>
      </c>
      <c r="AY88" s="117" t="s">
        <v>177</v>
      </c>
      <c r="BK88" s="125">
        <f>SUM(BK89:BK197)</f>
        <v>0</v>
      </c>
    </row>
    <row r="89" spans="2:65" s="1" customFormat="1" ht="33" customHeight="1">
      <c r="B89" s="128"/>
      <c r="C89" s="129" t="s">
        <v>85</v>
      </c>
      <c r="D89" s="129" t="s">
        <v>180</v>
      </c>
      <c r="E89" s="130" t="s">
        <v>681</v>
      </c>
      <c r="F89" s="131" t="s">
        <v>682</v>
      </c>
      <c r="G89" s="132" t="s">
        <v>332</v>
      </c>
      <c r="H89" s="133">
        <v>328.8</v>
      </c>
      <c r="I89" s="134"/>
      <c r="J89" s="135">
        <f>ROUND(I89*H89,2)</f>
        <v>0</v>
      </c>
      <c r="K89" s="131" t="s">
        <v>184</v>
      </c>
      <c r="L89" s="33"/>
      <c r="M89" s="136" t="s">
        <v>3</v>
      </c>
      <c r="N89" s="137" t="s">
        <v>48</v>
      </c>
      <c r="P89" s="138">
        <f>O89*H89</f>
        <v>0</v>
      </c>
      <c r="Q89" s="138">
        <v>0.00013</v>
      </c>
      <c r="R89" s="138">
        <f>Q89*H89</f>
        <v>0.042744</v>
      </c>
      <c r="S89" s="138">
        <v>0</v>
      </c>
      <c r="T89" s="139">
        <f>S89*H89</f>
        <v>0</v>
      </c>
      <c r="AR89" s="140" t="s">
        <v>185</v>
      </c>
      <c r="AT89" s="140" t="s">
        <v>180</v>
      </c>
      <c r="AU89" s="140" t="s">
        <v>87</v>
      </c>
      <c r="AY89" s="18" t="s">
        <v>177</v>
      </c>
      <c r="BE89" s="141">
        <f>IF(N89="základní",J89,0)</f>
        <v>0</v>
      </c>
      <c r="BF89" s="141">
        <f>IF(N89="snížená",J89,0)</f>
        <v>0</v>
      </c>
      <c r="BG89" s="141">
        <f>IF(N89="zákl. přenesená",J89,0)</f>
        <v>0</v>
      </c>
      <c r="BH89" s="141">
        <f>IF(N89="sníž. přenesená",J89,0)</f>
        <v>0</v>
      </c>
      <c r="BI89" s="141">
        <f>IF(N89="nulová",J89,0)</f>
        <v>0</v>
      </c>
      <c r="BJ89" s="18" t="s">
        <v>85</v>
      </c>
      <c r="BK89" s="141">
        <f>ROUND(I89*H89,2)</f>
        <v>0</v>
      </c>
      <c r="BL89" s="18" t="s">
        <v>185</v>
      </c>
      <c r="BM89" s="140" t="s">
        <v>1476</v>
      </c>
    </row>
    <row r="90" spans="2:47" s="1" customFormat="1" ht="19.5">
      <c r="B90" s="33"/>
      <c r="D90" s="142" t="s">
        <v>187</v>
      </c>
      <c r="F90" s="143" t="s">
        <v>684</v>
      </c>
      <c r="I90" s="144"/>
      <c r="L90" s="33"/>
      <c r="M90" s="145"/>
      <c r="T90" s="54"/>
      <c r="AT90" s="18" t="s">
        <v>187</v>
      </c>
      <c r="AU90" s="18" t="s">
        <v>87</v>
      </c>
    </row>
    <row r="91" spans="2:47" s="1" customFormat="1" ht="11.25">
      <c r="B91" s="33"/>
      <c r="D91" s="146" t="s">
        <v>189</v>
      </c>
      <c r="F91" s="147" t="s">
        <v>685</v>
      </c>
      <c r="I91" s="144"/>
      <c r="L91" s="33"/>
      <c r="M91" s="145"/>
      <c r="T91" s="54"/>
      <c r="AT91" s="18" t="s">
        <v>189</v>
      </c>
      <c r="AU91" s="18" t="s">
        <v>87</v>
      </c>
    </row>
    <row r="92" spans="2:47" s="1" customFormat="1" ht="78">
      <c r="B92" s="33"/>
      <c r="D92" s="142" t="s">
        <v>191</v>
      </c>
      <c r="F92" s="148" t="s">
        <v>336</v>
      </c>
      <c r="I92" s="144"/>
      <c r="L92" s="33"/>
      <c r="M92" s="145"/>
      <c r="T92" s="54"/>
      <c r="AT92" s="18" t="s">
        <v>191</v>
      </c>
      <c r="AU92" s="18" t="s">
        <v>87</v>
      </c>
    </row>
    <row r="93" spans="2:51" s="12" customFormat="1" ht="11.25">
      <c r="B93" s="149"/>
      <c r="D93" s="142" t="s">
        <v>193</v>
      </c>
      <c r="E93" s="150" t="s">
        <v>3</v>
      </c>
      <c r="F93" s="151" t="s">
        <v>993</v>
      </c>
      <c r="H93" s="152">
        <v>328.8</v>
      </c>
      <c r="I93" s="153"/>
      <c r="L93" s="149"/>
      <c r="M93" s="154"/>
      <c r="T93" s="155"/>
      <c r="AT93" s="150" t="s">
        <v>193</v>
      </c>
      <c r="AU93" s="150" t="s">
        <v>87</v>
      </c>
      <c r="AV93" s="12" t="s">
        <v>87</v>
      </c>
      <c r="AW93" s="12" t="s">
        <v>36</v>
      </c>
      <c r="AX93" s="12" t="s">
        <v>77</v>
      </c>
      <c r="AY93" s="150" t="s">
        <v>177</v>
      </c>
    </row>
    <row r="94" spans="2:51" s="15" customFormat="1" ht="11.25">
      <c r="B94" s="169"/>
      <c r="D94" s="142" t="s">
        <v>193</v>
      </c>
      <c r="E94" s="170" t="s">
        <v>3</v>
      </c>
      <c r="F94" s="171" t="s">
        <v>201</v>
      </c>
      <c r="H94" s="172">
        <v>328.8</v>
      </c>
      <c r="I94" s="173"/>
      <c r="L94" s="169"/>
      <c r="M94" s="174"/>
      <c r="T94" s="175"/>
      <c r="AT94" s="170" t="s">
        <v>193</v>
      </c>
      <c r="AU94" s="170" t="s">
        <v>87</v>
      </c>
      <c r="AV94" s="15" t="s">
        <v>185</v>
      </c>
      <c r="AW94" s="15" t="s">
        <v>36</v>
      </c>
      <c r="AX94" s="15" t="s">
        <v>85</v>
      </c>
      <c r="AY94" s="170" t="s">
        <v>177</v>
      </c>
    </row>
    <row r="95" spans="2:65" s="1" customFormat="1" ht="24.2" customHeight="1">
      <c r="B95" s="128"/>
      <c r="C95" s="129" t="s">
        <v>87</v>
      </c>
      <c r="D95" s="129" t="s">
        <v>180</v>
      </c>
      <c r="E95" s="130" t="s">
        <v>339</v>
      </c>
      <c r="F95" s="131" t="s">
        <v>340</v>
      </c>
      <c r="G95" s="132" t="s">
        <v>332</v>
      </c>
      <c r="H95" s="133">
        <v>328.8</v>
      </c>
      <c r="I95" s="134"/>
      <c r="J95" s="135">
        <f>ROUND(I95*H95,2)</f>
        <v>0</v>
      </c>
      <c r="K95" s="131" t="s">
        <v>184</v>
      </c>
      <c r="L95" s="33"/>
      <c r="M95" s="136" t="s">
        <v>3</v>
      </c>
      <c r="N95" s="137" t="s">
        <v>48</v>
      </c>
      <c r="P95" s="138">
        <f>O95*H95</f>
        <v>0</v>
      </c>
      <c r="Q95" s="138">
        <v>3.5E-05</v>
      </c>
      <c r="R95" s="138">
        <f>Q95*H95</f>
        <v>0.011508</v>
      </c>
      <c r="S95" s="138">
        <v>0</v>
      </c>
      <c r="T95" s="139">
        <f>S95*H95</f>
        <v>0</v>
      </c>
      <c r="AR95" s="140" t="s">
        <v>185</v>
      </c>
      <c r="AT95" s="140" t="s">
        <v>180</v>
      </c>
      <c r="AU95" s="140" t="s">
        <v>87</v>
      </c>
      <c r="AY95" s="18" t="s">
        <v>177</v>
      </c>
      <c r="BE95" s="141">
        <f>IF(N95="základní",J95,0)</f>
        <v>0</v>
      </c>
      <c r="BF95" s="141">
        <f>IF(N95="snížená",J95,0)</f>
        <v>0</v>
      </c>
      <c r="BG95" s="141">
        <f>IF(N95="zákl. přenesená",J95,0)</f>
        <v>0</v>
      </c>
      <c r="BH95" s="141">
        <f>IF(N95="sníž. přenesená",J95,0)</f>
        <v>0</v>
      </c>
      <c r="BI95" s="141">
        <f>IF(N95="nulová",J95,0)</f>
        <v>0</v>
      </c>
      <c r="BJ95" s="18" t="s">
        <v>85</v>
      </c>
      <c r="BK95" s="141">
        <f>ROUND(I95*H95,2)</f>
        <v>0</v>
      </c>
      <c r="BL95" s="18" t="s">
        <v>185</v>
      </c>
      <c r="BM95" s="140" t="s">
        <v>1477</v>
      </c>
    </row>
    <row r="96" spans="2:47" s="1" customFormat="1" ht="19.5">
      <c r="B96" s="33"/>
      <c r="D96" s="142" t="s">
        <v>187</v>
      </c>
      <c r="F96" s="143" t="s">
        <v>342</v>
      </c>
      <c r="I96" s="144"/>
      <c r="L96" s="33"/>
      <c r="M96" s="145"/>
      <c r="T96" s="54"/>
      <c r="AT96" s="18" t="s">
        <v>187</v>
      </c>
      <c r="AU96" s="18" t="s">
        <v>87</v>
      </c>
    </row>
    <row r="97" spans="2:47" s="1" customFormat="1" ht="11.25">
      <c r="B97" s="33"/>
      <c r="D97" s="146" t="s">
        <v>189</v>
      </c>
      <c r="F97" s="147" t="s">
        <v>343</v>
      </c>
      <c r="I97" s="144"/>
      <c r="L97" s="33"/>
      <c r="M97" s="145"/>
      <c r="T97" s="54"/>
      <c r="AT97" s="18" t="s">
        <v>189</v>
      </c>
      <c r="AU97" s="18" t="s">
        <v>87</v>
      </c>
    </row>
    <row r="98" spans="2:47" s="1" customFormat="1" ht="273">
      <c r="B98" s="33"/>
      <c r="D98" s="142" t="s">
        <v>191</v>
      </c>
      <c r="F98" s="148" t="s">
        <v>344</v>
      </c>
      <c r="I98" s="144"/>
      <c r="L98" s="33"/>
      <c r="M98" s="145"/>
      <c r="T98" s="54"/>
      <c r="AT98" s="18" t="s">
        <v>191</v>
      </c>
      <c r="AU98" s="18" t="s">
        <v>87</v>
      </c>
    </row>
    <row r="99" spans="2:65" s="1" customFormat="1" ht="21.75" customHeight="1">
      <c r="B99" s="128"/>
      <c r="C99" s="129" t="s">
        <v>198</v>
      </c>
      <c r="D99" s="129" t="s">
        <v>180</v>
      </c>
      <c r="E99" s="130" t="s">
        <v>1478</v>
      </c>
      <c r="F99" s="131" t="s">
        <v>1479</v>
      </c>
      <c r="G99" s="132" t="s">
        <v>332</v>
      </c>
      <c r="H99" s="133">
        <v>616.922</v>
      </c>
      <c r="I99" s="134"/>
      <c r="J99" s="135">
        <f>ROUND(I99*H99,2)</f>
        <v>0</v>
      </c>
      <c r="K99" s="131" t="s">
        <v>184</v>
      </c>
      <c r="L99" s="33"/>
      <c r="M99" s="136" t="s">
        <v>3</v>
      </c>
      <c r="N99" s="137" t="s">
        <v>48</v>
      </c>
      <c r="P99" s="138">
        <f>O99*H99</f>
        <v>0</v>
      </c>
      <c r="Q99" s="138">
        <v>0</v>
      </c>
      <c r="R99" s="138">
        <f>Q99*H99</f>
        <v>0</v>
      </c>
      <c r="S99" s="138">
        <v>0.261</v>
      </c>
      <c r="T99" s="139">
        <f>S99*H99</f>
        <v>161.01664200000002</v>
      </c>
      <c r="AR99" s="140" t="s">
        <v>185</v>
      </c>
      <c r="AT99" s="140" t="s">
        <v>180</v>
      </c>
      <c r="AU99" s="140" t="s">
        <v>87</v>
      </c>
      <c r="AY99" s="18" t="s">
        <v>177</v>
      </c>
      <c r="BE99" s="141">
        <f>IF(N99="základní",J99,0)</f>
        <v>0</v>
      </c>
      <c r="BF99" s="141">
        <f>IF(N99="snížená",J99,0)</f>
        <v>0</v>
      </c>
      <c r="BG99" s="141">
        <f>IF(N99="zákl. přenesená",J99,0)</f>
        <v>0</v>
      </c>
      <c r="BH99" s="141">
        <f>IF(N99="sníž. přenesená",J99,0)</f>
        <v>0</v>
      </c>
      <c r="BI99" s="141">
        <f>IF(N99="nulová",J99,0)</f>
        <v>0</v>
      </c>
      <c r="BJ99" s="18" t="s">
        <v>85</v>
      </c>
      <c r="BK99" s="141">
        <f>ROUND(I99*H99,2)</f>
        <v>0</v>
      </c>
      <c r="BL99" s="18" t="s">
        <v>185</v>
      </c>
      <c r="BM99" s="140" t="s">
        <v>1480</v>
      </c>
    </row>
    <row r="100" spans="2:47" s="1" customFormat="1" ht="29.25">
      <c r="B100" s="33"/>
      <c r="D100" s="142" t="s">
        <v>187</v>
      </c>
      <c r="F100" s="143" t="s">
        <v>1481</v>
      </c>
      <c r="I100" s="144"/>
      <c r="L100" s="33"/>
      <c r="M100" s="145"/>
      <c r="T100" s="54"/>
      <c r="AT100" s="18" t="s">
        <v>187</v>
      </c>
      <c r="AU100" s="18" t="s">
        <v>87</v>
      </c>
    </row>
    <row r="101" spans="2:47" s="1" customFormat="1" ht="11.25">
      <c r="B101" s="33"/>
      <c r="D101" s="146" t="s">
        <v>189</v>
      </c>
      <c r="F101" s="147" t="s">
        <v>1482</v>
      </c>
      <c r="I101" s="144"/>
      <c r="L101" s="33"/>
      <c r="M101" s="145"/>
      <c r="T101" s="54"/>
      <c r="AT101" s="18" t="s">
        <v>189</v>
      </c>
      <c r="AU101" s="18" t="s">
        <v>87</v>
      </c>
    </row>
    <row r="102" spans="2:51" s="12" customFormat="1" ht="33.75">
      <c r="B102" s="149"/>
      <c r="D102" s="142" t="s">
        <v>193</v>
      </c>
      <c r="E102" s="150" t="s">
        <v>3</v>
      </c>
      <c r="F102" s="151" t="s">
        <v>1483</v>
      </c>
      <c r="H102" s="152">
        <v>665.299</v>
      </c>
      <c r="I102" s="153"/>
      <c r="L102" s="149"/>
      <c r="M102" s="154"/>
      <c r="T102" s="155"/>
      <c r="AT102" s="150" t="s">
        <v>193</v>
      </c>
      <c r="AU102" s="150" t="s">
        <v>87</v>
      </c>
      <c r="AV102" s="12" t="s">
        <v>87</v>
      </c>
      <c r="AW102" s="12" t="s">
        <v>36</v>
      </c>
      <c r="AX102" s="12" t="s">
        <v>77</v>
      </c>
      <c r="AY102" s="150" t="s">
        <v>177</v>
      </c>
    </row>
    <row r="103" spans="2:51" s="12" customFormat="1" ht="11.25">
      <c r="B103" s="149"/>
      <c r="D103" s="142" t="s">
        <v>193</v>
      </c>
      <c r="E103" s="150" t="s">
        <v>3</v>
      </c>
      <c r="F103" s="151" t="s">
        <v>1484</v>
      </c>
      <c r="H103" s="152">
        <v>9.223</v>
      </c>
      <c r="I103" s="153"/>
      <c r="L103" s="149"/>
      <c r="M103" s="154"/>
      <c r="T103" s="155"/>
      <c r="AT103" s="150" t="s">
        <v>193</v>
      </c>
      <c r="AU103" s="150" t="s">
        <v>87</v>
      </c>
      <c r="AV103" s="12" t="s">
        <v>87</v>
      </c>
      <c r="AW103" s="12" t="s">
        <v>36</v>
      </c>
      <c r="AX103" s="12" t="s">
        <v>77</v>
      </c>
      <c r="AY103" s="150" t="s">
        <v>177</v>
      </c>
    </row>
    <row r="104" spans="2:51" s="13" customFormat="1" ht="11.25">
      <c r="B104" s="156"/>
      <c r="D104" s="142" t="s">
        <v>193</v>
      </c>
      <c r="E104" s="157" t="s">
        <v>3</v>
      </c>
      <c r="F104" s="158" t="s">
        <v>1485</v>
      </c>
      <c r="H104" s="157" t="s">
        <v>3</v>
      </c>
      <c r="I104" s="159"/>
      <c r="L104" s="156"/>
      <c r="M104" s="160"/>
      <c r="T104" s="161"/>
      <c r="AT104" s="157" t="s">
        <v>193</v>
      </c>
      <c r="AU104" s="157" t="s">
        <v>87</v>
      </c>
      <c r="AV104" s="13" t="s">
        <v>85</v>
      </c>
      <c r="AW104" s="13" t="s">
        <v>36</v>
      </c>
      <c r="AX104" s="13" t="s">
        <v>77</v>
      </c>
      <c r="AY104" s="157" t="s">
        <v>177</v>
      </c>
    </row>
    <row r="105" spans="2:51" s="12" customFormat="1" ht="11.25">
      <c r="B105" s="149"/>
      <c r="D105" s="142" t="s">
        <v>193</v>
      </c>
      <c r="E105" s="150" t="s">
        <v>3</v>
      </c>
      <c r="F105" s="151" t="s">
        <v>1486</v>
      </c>
      <c r="H105" s="152">
        <v>-57.6</v>
      </c>
      <c r="I105" s="153"/>
      <c r="L105" s="149"/>
      <c r="M105" s="154"/>
      <c r="T105" s="155"/>
      <c r="AT105" s="150" t="s">
        <v>193</v>
      </c>
      <c r="AU105" s="150" t="s">
        <v>87</v>
      </c>
      <c r="AV105" s="12" t="s">
        <v>87</v>
      </c>
      <c r="AW105" s="12" t="s">
        <v>36</v>
      </c>
      <c r="AX105" s="12" t="s">
        <v>77</v>
      </c>
      <c r="AY105" s="150" t="s">
        <v>177</v>
      </c>
    </row>
    <row r="106" spans="2:51" s="15" customFormat="1" ht="11.25">
      <c r="B106" s="169"/>
      <c r="D106" s="142" t="s">
        <v>193</v>
      </c>
      <c r="E106" s="170" t="s">
        <v>3</v>
      </c>
      <c r="F106" s="171" t="s">
        <v>201</v>
      </c>
      <c r="H106" s="172">
        <v>616.9219999999999</v>
      </c>
      <c r="I106" s="173"/>
      <c r="L106" s="169"/>
      <c r="M106" s="174"/>
      <c r="T106" s="175"/>
      <c r="AT106" s="170" t="s">
        <v>193</v>
      </c>
      <c r="AU106" s="170" t="s">
        <v>87</v>
      </c>
      <c r="AV106" s="15" t="s">
        <v>185</v>
      </c>
      <c r="AW106" s="15" t="s">
        <v>36</v>
      </c>
      <c r="AX106" s="15" t="s">
        <v>85</v>
      </c>
      <c r="AY106" s="170" t="s">
        <v>177</v>
      </c>
    </row>
    <row r="107" spans="2:65" s="1" customFormat="1" ht="24.2" customHeight="1">
      <c r="B107" s="128"/>
      <c r="C107" s="129" t="s">
        <v>185</v>
      </c>
      <c r="D107" s="129" t="s">
        <v>180</v>
      </c>
      <c r="E107" s="130" t="s">
        <v>1487</v>
      </c>
      <c r="F107" s="131" t="s">
        <v>1488</v>
      </c>
      <c r="G107" s="132" t="s">
        <v>332</v>
      </c>
      <c r="H107" s="133">
        <v>19.1</v>
      </c>
      <c r="I107" s="134"/>
      <c r="J107" s="135">
        <f>ROUND(I107*H107,2)</f>
        <v>0</v>
      </c>
      <c r="K107" s="131" t="s">
        <v>184</v>
      </c>
      <c r="L107" s="33"/>
      <c r="M107" s="136" t="s">
        <v>3</v>
      </c>
      <c r="N107" s="137" t="s">
        <v>48</v>
      </c>
      <c r="P107" s="138">
        <f>O107*H107</f>
        <v>0</v>
      </c>
      <c r="Q107" s="138">
        <v>0</v>
      </c>
      <c r="R107" s="138">
        <f>Q107*H107</f>
        <v>0</v>
      </c>
      <c r="S107" s="138">
        <v>0.1</v>
      </c>
      <c r="T107" s="139">
        <f>S107*H107</f>
        <v>1.9100000000000001</v>
      </c>
      <c r="AR107" s="140" t="s">
        <v>185</v>
      </c>
      <c r="AT107" s="140" t="s">
        <v>180</v>
      </c>
      <c r="AU107" s="140" t="s">
        <v>87</v>
      </c>
      <c r="AY107" s="18" t="s">
        <v>177</v>
      </c>
      <c r="BE107" s="141">
        <f>IF(N107="základní",J107,0)</f>
        <v>0</v>
      </c>
      <c r="BF107" s="141">
        <f>IF(N107="snížená",J107,0)</f>
        <v>0</v>
      </c>
      <c r="BG107" s="141">
        <f>IF(N107="zákl. přenesená",J107,0)</f>
        <v>0</v>
      </c>
      <c r="BH107" s="141">
        <f>IF(N107="sníž. přenesená",J107,0)</f>
        <v>0</v>
      </c>
      <c r="BI107" s="141">
        <f>IF(N107="nulová",J107,0)</f>
        <v>0</v>
      </c>
      <c r="BJ107" s="18" t="s">
        <v>85</v>
      </c>
      <c r="BK107" s="141">
        <f>ROUND(I107*H107,2)</f>
        <v>0</v>
      </c>
      <c r="BL107" s="18" t="s">
        <v>185</v>
      </c>
      <c r="BM107" s="140" t="s">
        <v>1489</v>
      </c>
    </row>
    <row r="108" spans="2:47" s="1" customFormat="1" ht="39">
      <c r="B108" s="33"/>
      <c r="D108" s="142" t="s">
        <v>187</v>
      </c>
      <c r="F108" s="143" t="s">
        <v>1490</v>
      </c>
      <c r="I108" s="144"/>
      <c r="L108" s="33"/>
      <c r="M108" s="145"/>
      <c r="T108" s="54"/>
      <c r="AT108" s="18" t="s">
        <v>187</v>
      </c>
      <c r="AU108" s="18" t="s">
        <v>87</v>
      </c>
    </row>
    <row r="109" spans="2:47" s="1" customFormat="1" ht="11.25">
      <c r="B109" s="33"/>
      <c r="D109" s="146" t="s">
        <v>189</v>
      </c>
      <c r="F109" s="147" t="s">
        <v>1491</v>
      </c>
      <c r="I109" s="144"/>
      <c r="L109" s="33"/>
      <c r="M109" s="145"/>
      <c r="T109" s="54"/>
      <c r="AT109" s="18" t="s">
        <v>189</v>
      </c>
      <c r="AU109" s="18" t="s">
        <v>87</v>
      </c>
    </row>
    <row r="110" spans="2:51" s="13" customFormat="1" ht="11.25">
      <c r="B110" s="156"/>
      <c r="D110" s="142" t="s">
        <v>193</v>
      </c>
      <c r="E110" s="157" t="s">
        <v>3</v>
      </c>
      <c r="F110" s="158" t="s">
        <v>1492</v>
      </c>
      <c r="H110" s="157" t="s">
        <v>3</v>
      </c>
      <c r="I110" s="159"/>
      <c r="L110" s="156"/>
      <c r="M110" s="160"/>
      <c r="T110" s="161"/>
      <c r="AT110" s="157" t="s">
        <v>193</v>
      </c>
      <c r="AU110" s="157" t="s">
        <v>87</v>
      </c>
      <c r="AV110" s="13" t="s">
        <v>85</v>
      </c>
      <c r="AW110" s="13" t="s">
        <v>36</v>
      </c>
      <c r="AX110" s="13" t="s">
        <v>77</v>
      </c>
      <c r="AY110" s="157" t="s">
        <v>177</v>
      </c>
    </row>
    <row r="111" spans="2:51" s="12" customFormat="1" ht="11.25">
      <c r="B111" s="149"/>
      <c r="D111" s="142" t="s">
        <v>193</v>
      </c>
      <c r="E111" s="150" t="s">
        <v>3</v>
      </c>
      <c r="F111" s="151" t="s">
        <v>1493</v>
      </c>
      <c r="H111" s="152">
        <v>19.1</v>
      </c>
      <c r="I111" s="153"/>
      <c r="L111" s="149"/>
      <c r="M111" s="154"/>
      <c r="T111" s="155"/>
      <c r="AT111" s="150" t="s">
        <v>193</v>
      </c>
      <c r="AU111" s="150" t="s">
        <v>87</v>
      </c>
      <c r="AV111" s="12" t="s">
        <v>87</v>
      </c>
      <c r="AW111" s="12" t="s">
        <v>36</v>
      </c>
      <c r="AX111" s="12" t="s">
        <v>85</v>
      </c>
      <c r="AY111" s="150" t="s">
        <v>177</v>
      </c>
    </row>
    <row r="112" spans="2:65" s="1" customFormat="1" ht="37.9" customHeight="1">
      <c r="B112" s="128"/>
      <c r="C112" s="129" t="s">
        <v>200</v>
      </c>
      <c r="D112" s="129" t="s">
        <v>180</v>
      </c>
      <c r="E112" s="130" t="s">
        <v>1494</v>
      </c>
      <c r="F112" s="131" t="s">
        <v>1495</v>
      </c>
      <c r="G112" s="132" t="s">
        <v>806</v>
      </c>
      <c r="H112" s="133">
        <v>30.804</v>
      </c>
      <c r="I112" s="134"/>
      <c r="J112" s="135">
        <f>ROUND(I112*H112,2)</f>
        <v>0</v>
      </c>
      <c r="K112" s="131" t="s">
        <v>184</v>
      </c>
      <c r="L112" s="33"/>
      <c r="M112" s="136" t="s">
        <v>3</v>
      </c>
      <c r="N112" s="137" t="s">
        <v>48</v>
      </c>
      <c r="P112" s="138">
        <f>O112*H112</f>
        <v>0</v>
      </c>
      <c r="Q112" s="138">
        <v>0</v>
      </c>
      <c r="R112" s="138">
        <f>Q112*H112</f>
        <v>0</v>
      </c>
      <c r="S112" s="138">
        <v>2.2</v>
      </c>
      <c r="T112" s="139">
        <f>S112*H112</f>
        <v>67.7688</v>
      </c>
      <c r="AR112" s="140" t="s">
        <v>185</v>
      </c>
      <c r="AT112" s="140" t="s">
        <v>180</v>
      </c>
      <c r="AU112" s="140" t="s">
        <v>87</v>
      </c>
      <c r="AY112" s="18" t="s">
        <v>177</v>
      </c>
      <c r="BE112" s="141">
        <f>IF(N112="základní",J112,0)</f>
        <v>0</v>
      </c>
      <c r="BF112" s="141">
        <f>IF(N112="snížená",J112,0)</f>
        <v>0</v>
      </c>
      <c r="BG112" s="141">
        <f>IF(N112="zákl. přenesená",J112,0)</f>
        <v>0</v>
      </c>
      <c r="BH112" s="141">
        <f>IF(N112="sníž. přenesená",J112,0)</f>
        <v>0</v>
      </c>
      <c r="BI112" s="141">
        <f>IF(N112="nulová",J112,0)</f>
        <v>0</v>
      </c>
      <c r="BJ112" s="18" t="s">
        <v>85</v>
      </c>
      <c r="BK112" s="141">
        <f>ROUND(I112*H112,2)</f>
        <v>0</v>
      </c>
      <c r="BL112" s="18" t="s">
        <v>185</v>
      </c>
      <c r="BM112" s="140" t="s">
        <v>1496</v>
      </c>
    </row>
    <row r="113" spans="2:47" s="1" customFormat="1" ht="19.5">
      <c r="B113" s="33"/>
      <c r="D113" s="142" t="s">
        <v>187</v>
      </c>
      <c r="F113" s="143" t="s">
        <v>1497</v>
      </c>
      <c r="I113" s="144"/>
      <c r="L113" s="33"/>
      <c r="M113" s="145"/>
      <c r="T113" s="54"/>
      <c r="AT113" s="18" t="s">
        <v>187</v>
      </c>
      <c r="AU113" s="18" t="s">
        <v>87</v>
      </c>
    </row>
    <row r="114" spans="2:47" s="1" customFormat="1" ht="11.25">
      <c r="B114" s="33"/>
      <c r="D114" s="146" t="s">
        <v>189</v>
      </c>
      <c r="F114" s="147" t="s">
        <v>1498</v>
      </c>
      <c r="I114" s="144"/>
      <c r="L114" s="33"/>
      <c r="M114" s="145"/>
      <c r="T114" s="54"/>
      <c r="AT114" s="18" t="s">
        <v>189</v>
      </c>
      <c r="AU114" s="18" t="s">
        <v>87</v>
      </c>
    </row>
    <row r="115" spans="2:51" s="12" customFormat="1" ht="11.25">
      <c r="B115" s="149"/>
      <c r="D115" s="142" t="s">
        <v>193</v>
      </c>
      <c r="E115" s="150" t="s">
        <v>3</v>
      </c>
      <c r="F115" s="151" t="s">
        <v>1499</v>
      </c>
      <c r="H115" s="152">
        <v>30.804</v>
      </c>
      <c r="I115" s="153"/>
      <c r="L115" s="149"/>
      <c r="M115" s="154"/>
      <c r="T115" s="155"/>
      <c r="AT115" s="150" t="s">
        <v>193</v>
      </c>
      <c r="AU115" s="150" t="s">
        <v>87</v>
      </c>
      <c r="AV115" s="12" t="s">
        <v>87</v>
      </c>
      <c r="AW115" s="12" t="s">
        <v>36</v>
      </c>
      <c r="AX115" s="12" t="s">
        <v>85</v>
      </c>
      <c r="AY115" s="150" t="s">
        <v>177</v>
      </c>
    </row>
    <row r="116" spans="2:65" s="1" customFormat="1" ht="33" customHeight="1">
      <c r="B116" s="128"/>
      <c r="C116" s="129" t="s">
        <v>233</v>
      </c>
      <c r="D116" s="129" t="s">
        <v>180</v>
      </c>
      <c r="E116" s="130" t="s">
        <v>1500</v>
      </c>
      <c r="F116" s="131" t="s">
        <v>1501</v>
      </c>
      <c r="G116" s="132" t="s">
        <v>806</v>
      </c>
      <c r="H116" s="133">
        <v>30.804</v>
      </c>
      <c r="I116" s="134"/>
      <c r="J116" s="135">
        <f>ROUND(I116*H116,2)</f>
        <v>0</v>
      </c>
      <c r="K116" s="131" t="s">
        <v>184</v>
      </c>
      <c r="L116" s="33"/>
      <c r="M116" s="136" t="s">
        <v>3</v>
      </c>
      <c r="N116" s="137" t="s">
        <v>48</v>
      </c>
      <c r="P116" s="138">
        <f>O116*H116</f>
        <v>0</v>
      </c>
      <c r="Q116" s="138">
        <v>0</v>
      </c>
      <c r="R116" s="138">
        <f>Q116*H116</f>
        <v>0</v>
      </c>
      <c r="S116" s="138">
        <v>0.044</v>
      </c>
      <c r="T116" s="139">
        <f>S116*H116</f>
        <v>1.355376</v>
      </c>
      <c r="AR116" s="140" t="s">
        <v>185</v>
      </c>
      <c r="AT116" s="140" t="s">
        <v>180</v>
      </c>
      <c r="AU116" s="140" t="s">
        <v>87</v>
      </c>
      <c r="AY116" s="18" t="s">
        <v>177</v>
      </c>
      <c r="BE116" s="141">
        <f>IF(N116="základní",J116,0)</f>
        <v>0</v>
      </c>
      <c r="BF116" s="141">
        <f>IF(N116="snížená",J116,0)</f>
        <v>0</v>
      </c>
      <c r="BG116" s="141">
        <f>IF(N116="zákl. přenesená",J116,0)</f>
        <v>0</v>
      </c>
      <c r="BH116" s="141">
        <f>IF(N116="sníž. přenesená",J116,0)</f>
        <v>0</v>
      </c>
      <c r="BI116" s="141">
        <f>IF(N116="nulová",J116,0)</f>
        <v>0</v>
      </c>
      <c r="BJ116" s="18" t="s">
        <v>85</v>
      </c>
      <c r="BK116" s="141">
        <f>ROUND(I116*H116,2)</f>
        <v>0</v>
      </c>
      <c r="BL116" s="18" t="s">
        <v>185</v>
      </c>
      <c r="BM116" s="140" t="s">
        <v>1502</v>
      </c>
    </row>
    <row r="117" spans="2:47" s="1" customFormat="1" ht="19.5">
      <c r="B117" s="33"/>
      <c r="D117" s="142" t="s">
        <v>187</v>
      </c>
      <c r="F117" s="143" t="s">
        <v>1503</v>
      </c>
      <c r="I117" s="144"/>
      <c r="L117" s="33"/>
      <c r="M117" s="145"/>
      <c r="T117" s="54"/>
      <c r="AT117" s="18" t="s">
        <v>187</v>
      </c>
      <c r="AU117" s="18" t="s">
        <v>87</v>
      </c>
    </row>
    <row r="118" spans="2:47" s="1" customFormat="1" ht="11.25">
      <c r="B118" s="33"/>
      <c r="D118" s="146" t="s">
        <v>189</v>
      </c>
      <c r="F118" s="147" t="s">
        <v>1504</v>
      </c>
      <c r="I118" s="144"/>
      <c r="L118" s="33"/>
      <c r="M118" s="145"/>
      <c r="T118" s="54"/>
      <c r="AT118" s="18" t="s">
        <v>189</v>
      </c>
      <c r="AU118" s="18" t="s">
        <v>87</v>
      </c>
    </row>
    <row r="119" spans="2:65" s="1" customFormat="1" ht="24.2" customHeight="1">
      <c r="B119" s="128"/>
      <c r="C119" s="129" t="s">
        <v>241</v>
      </c>
      <c r="D119" s="129" t="s">
        <v>180</v>
      </c>
      <c r="E119" s="130" t="s">
        <v>1505</v>
      </c>
      <c r="F119" s="131" t="s">
        <v>1506</v>
      </c>
      <c r="G119" s="132" t="s">
        <v>332</v>
      </c>
      <c r="H119" s="133">
        <v>308.044</v>
      </c>
      <c r="I119" s="134"/>
      <c r="J119" s="135">
        <f>ROUND(I119*H119,2)</f>
        <v>0</v>
      </c>
      <c r="K119" s="131" t="s">
        <v>184</v>
      </c>
      <c r="L119" s="33"/>
      <c r="M119" s="136" t="s">
        <v>3</v>
      </c>
      <c r="N119" s="137" t="s">
        <v>48</v>
      </c>
      <c r="P119" s="138">
        <f>O119*H119</f>
        <v>0</v>
      </c>
      <c r="Q119" s="138">
        <v>0</v>
      </c>
      <c r="R119" s="138">
        <f>Q119*H119</f>
        <v>0</v>
      </c>
      <c r="S119" s="138">
        <v>0.057</v>
      </c>
      <c r="T119" s="139">
        <f>S119*H119</f>
        <v>17.558508</v>
      </c>
      <c r="AR119" s="140" t="s">
        <v>185</v>
      </c>
      <c r="AT119" s="140" t="s">
        <v>180</v>
      </c>
      <c r="AU119" s="140" t="s">
        <v>87</v>
      </c>
      <c r="AY119" s="18" t="s">
        <v>177</v>
      </c>
      <c r="BE119" s="141">
        <f>IF(N119="základní",J119,0)</f>
        <v>0</v>
      </c>
      <c r="BF119" s="141">
        <f>IF(N119="snížená",J119,0)</f>
        <v>0</v>
      </c>
      <c r="BG119" s="141">
        <f>IF(N119="zákl. přenesená",J119,0)</f>
        <v>0</v>
      </c>
      <c r="BH119" s="141">
        <f>IF(N119="sníž. přenesená",J119,0)</f>
        <v>0</v>
      </c>
      <c r="BI119" s="141">
        <f>IF(N119="nulová",J119,0)</f>
        <v>0</v>
      </c>
      <c r="BJ119" s="18" t="s">
        <v>85</v>
      </c>
      <c r="BK119" s="141">
        <f>ROUND(I119*H119,2)</f>
        <v>0</v>
      </c>
      <c r="BL119" s="18" t="s">
        <v>185</v>
      </c>
      <c r="BM119" s="140" t="s">
        <v>1507</v>
      </c>
    </row>
    <row r="120" spans="2:47" s="1" customFormat="1" ht="29.25">
      <c r="B120" s="33"/>
      <c r="D120" s="142" t="s">
        <v>187</v>
      </c>
      <c r="F120" s="143" t="s">
        <v>1508</v>
      </c>
      <c r="I120" s="144"/>
      <c r="L120" s="33"/>
      <c r="M120" s="145"/>
      <c r="T120" s="54"/>
      <c r="AT120" s="18" t="s">
        <v>187</v>
      </c>
      <c r="AU120" s="18" t="s">
        <v>87</v>
      </c>
    </row>
    <row r="121" spans="2:47" s="1" customFormat="1" ht="11.25">
      <c r="B121" s="33"/>
      <c r="D121" s="146" t="s">
        <v>189</v>
      </c>
      <c r="F121" s="147" t="s">
        <v>1509</v>
      </c>
      <c r="I121" s="144"/>
      <c r="L121" s="33"/>
      <c r="M121" s="145"/>
      <c r="T121" s="54"/>
      <c r="AT121" s="18" t="s">
        <v>189</v>
      </c>
      <c r="AU121" s="18" t="s">
        <v>87</v>
      </c>
    </row>
    <row r="122" spans="2:47" s="1" customFormat="1" ht="29.25">
      <c r="B122" s="33"/>
      <c r="D122" s="142" t="s">
        <v>191</v>
      </c>
      <c r="F122" s="148" t="s">
        <v>1510</v>
      </c>
      <c r="I122" s="144"/>
      <c r="L122" s="33"/>
      <c r="M122" s="145"/>
      <c r="T122" s="54"/>
      <c r="AT122" s="18" t="s">
        <v>191</v>
      </c>
      <c r="AU122" s="18" t="s">
        <v>87</v>
      </c>
    </row>
    <row r="123" spans="2:51" s="12" customFormat="1" ht="11.25">
      <c r="B123" s="149"/>
      <c r="D123" s="142" t="s">
        <v>193</v>
      </c>
      <c r="E123" s="150" t="s">
        <v>3</v>
      </c>
      <c r="F123" s="151" t="s">
        <v>1511</v>
      </c>
      <c r="H123" s="152">
        <v>308.044</v>
      </c>
      <c r="I123" s="153"/>
      <c r="L123" s="149"/>
      <c r="M123" s="154"/>
      <c r="T123" s="155"/>
      <c r="AT123" s="150" t="s">
        <v>193</v>
      </c>
      <c r="AU123" s="150" t="s">
        <v>87</v>
      </c>
      <c r="AV123" s="12" t="s">
        <v>87</v>
      </c>
      <c r="AW123" s="12" t="s">
        <v>36</v>
      </c>
      <c r="AX123" s="12" t="s">
        <v>85</v>
      </c>
      <c r="AY123" s="150" t="s">
        <v>177</v>
      </c>
    </row>
    <row r="124" spans="2:65" s="1" customFormat="1" ht="21.75" customHeight="1">
      <c r="B124" s="128"/>
      <c r="C124" s="129" t="s">
        <v>248</v>
      </c>
      <c r="D124" s="129" t="s">
        <v>180</v>
      </c>
      <c r="E124" s="130" t="s">
        <v>1042</v>
      </c>
      <c r="F124" s="131" t="s">
        <v>1043</v>
      </c>
      <c r="G124" s="132" t="s">
        <v>332</v>
      </c>
      <c r="H124" s="133">
        <v>57.6</v>
      </c>
      <c r="I124" s="134"/>
      <c r="J124" s="135">
        <f>ROUND(I124*H124,2)</f>
        <v>0</v>
      </c>
      <c r="K124" s="131" t="s">
        <v>184</v>
      </c>
      <c r="L124" s="33"/>
      <c r="M124" s="136" t="s">
        <v>3</v>
      </c>
      <c r="N124" s="137" t="s">
        <v>48</v>
      </c>
      <c r="P124" s="138">
        <f>O124*H124</f>
        <v>0</v>
      </c>
      <c r="Q124" s="138">
        <v>0</v>
      </c>
      <c r="R124" s="138">
        <f>Q124*H124</f>
        <v>0</v>
      </c>
      <c r="S124" s="138">
        <v>0.076</v>
      </c>
      <c r="T124" s="139">
        <f>S124*H124</f>
        <v>4.3776</v>
      </c>
      <c r="AR124" s="140" t="s">
        <v>185</v>
      </c>
      <c r="AT124" s="140" t="s">
        <v>180</v>
      </c>
      <c r="AU124" s="140" t="s">
        <v>87</v>
      </c>
      <c r="AY124" s="18" t="s">
        <v>177</v>
      </c>
      <c r="BE124" s="141">
        <f>IF(N124="základní",J124,0)</f>
        <v>0</v>
      </c>
      <c r="BF124" s="141">
        <f>IF(N124="snížená",J124,0)</f>
        <v>0</v>
      </c>
      <c r="BG124" s="141">
        <f>IF(N124="zákl. přenesená",J124,0)</f>
        <v>0</v>
      </c>
      <c r="BH124" s="141">
        <f>IF(N124="sníž. přenesená",J124,0)</f>
        <v>0</v>
      </c>
      <c r="BI124" s="141">
        <f>IF(N124="nulová",J124,0)</f>
        <v>0</v>
      </c>
      <c r="BJ124" s="18" t="s">
        <v>85</v>
      </c>
      <c r="BK124" s="141">
        <f>ROUND(I124*H124,2)</f>
        <v>0</v>
      </c>
      <c r="BL124" s="18" t="s">
        <v>185</v>
      </c>
      <c r="BM124" s="140" t="s">
        <v>1512</v>
      </c>
    </row>
    <row r="125" spans="2:47" s="1" customFormat="1" ht="19.5">
      <c r="B125" s="33"/>
      <c r="D125" s="142" t="s">
        <v>187</v>
      </c>
      <c r="F125" s="143" t="s">
        <v>1045</v>
      </c>
      <c r="I125" s="144"/>
      <c r="L125" s="33"/>
      <c r="M125" s="145"/>
      <c r="T125" s="54"/>
      <c r="AT125" s="18" t="s">
        <v>187</v>
      </c>
      <c r="AU125" s="18" t="s">
        <v>87</v>
      </c>
    </row>
    <row r="126" spans="2:47" s="1" customFormat="1" ht="11.25">
      <c r="B126" s="33"/>
      <c r="D126" s="146" t="s">
        <v>189</v>
      </c>
      <c r="F126" s="147" t="s">
        <v>1046</v>
      </c>
      <c r="I126" s="144"/>
      <c r="L126" s="33"/>
      <c r="M126" s="145"/>
      <c r="T126" s="54"/>
      <c r="AT126" s="18" t="s">
        <v>189</v>
      </c>
      <c r="AU126" s="18" t="s">
        <v>87</v>
      </c>
    </row>
    <row r="127" spans="2:47" s="1" customFormat="1" ht="58.5">
      <c r="B127" s="33"/>
      <c r="D127" s="142" t="s">
        <v>191</v>
      </c>
      <c r="F127" s="148" t="s">
        <v>1040</v>
      </c>
      <c r="I127" s="144"/>
      <c r="L127" s="33"/>
      <c r="M127" s="145"/>
      <c r="T127" s="54"/>
      <c r="AT127" s="18" t="s">
        <v>191</v>
      </c>
      <c r="AU127" s="18" t="s">
        <v>87</v>
      </c>
    </row>
    <row r="128" spans="2:51" s="12" customFormat="1" ht="11.25">
      <c r="B128" s="149"/>
      <c r="D128" s="142" t="s">
        <v>193</v>
      </c>
      <c r="E128" s="150" t="s">
        <v>3</v>
      </c>
      <c r="F128" s="151" t="s">
        <v>1513</v>
      </c>
      <c r="H128" s="152">
        <v>36</v>
      </c>
      <c r="I128" s="153"/>
      <c r="L128" s="149"/>
      <c r="M128" s="154"/>
      <c r="T128" s="155"/>
      <c r="AT128" s="150" t="s">
        <v>193</v>
      </c>
      <c r="AU128" s="150" t="s">
        <v>87</v>
      </c>
      <c r="AV128" s="12" t="s">
        <v>87</v>
      </c>
      <c r="AW128" s="12" t="s">
        <v>36</v>
      </c>
      <c r="AX128" s="12" t="s">
        <v>77</v>
      </c>
      <c r="AY128" s="150" t="s">
        <v>177</v>
      </c>
    </row>
    <row r="129" spans="2:51" s="12" customFormat="1" ht="11.25">
      <c r="B129" s="149"/>
      <c r="D129" s="142" t="s">
        <v>193</v>
      </c>
      <c r="E129" s="150" t="s">
        <v>3</v>
      </c>
      <c r="F129" s="151" t="s">
        <v>1514</v>
      </c>
      <c r="H129" s="152">
        <v>4.8</v>
      </c>
      <c r="I129" s="153"/>
      <c r="L129" s="149"/>
      <c r="M129" s="154"/>
      <c r="T129" s="155"/>
      <c r="AT129" s="150" t="s">
        <v>193</v>
      </c>
      <c r="AU129" s="150" t="s">
        <v>87</v>
      </c>
      <c r="AV129" s="12" t="s">
        <v>87</v>
      </c>
      <c r="AW129" s="12" t="s">
        <v>36</v>
      </c>
      <c r="AX129" s="12" t="s">
        <v>77</v>
      </c>
      <c r="AY129" s="150" t="s">
        <v>177</v>
      </c>
    </row>
    <row r="130" spans="2:51" s="12" customFormat="1" ht="11.25">
      <c r="B130" s="149"/>
      <c r="D130" s="142" t="s">
        <v>193</v>
      </c>
      <c r="E130" s="150" t="s">
        <v>3</v>
      </c>
      <c r="F130" s="151" t="s">
        <v>1515</v>
      </c>
      <c r="H130" s="152">
        <v>16.8</v>
      </c>
      <c r="I130" s="153"/>
      <c r="L130" s="149"/>
      <c r="M130" s="154"/>
      <c r="T130" s="155"/>
      <c r="AT130" s="150" t="s">
        <v>193</v>
      </c>
      <c r="AU130" s="150" t="s">
        <v>87</v>
      </c>
      <c r="AV130" s="12" t="s">
        <v>87</v>
      </c>
      <c r="AW130" s="12" t="s">
        <v>36</v>
      </c>
      <c r="AX130" s="12" t="s">
        <v>77</v>
      </c>
      <c r="AY130" s="150" t="s">
        <v>177</v>
      </c>
    </row>
    <row r="131" spans="2:51" s="15" customFormat="1" ht="11.25">
      <c r="B131" s="169"/>
      <c r="D131" s="142" t="s">
        <v>193</v>
      </c>
      <c r="E131" s="170" t="s">
        <v>3</v>
      </c>
      <c r="F131" s="171" t="s">
        <v>201</v>
      </c>
      <c r="H131" s="172">
        <v>57.599999999999994</v>
      </c>
      <c r="I131" s="173"/>
      <c r="L131" s="169"/>
      <c r="M131" s="174"/>
      <c r="T131" s="175"/>
      <c r="AT131" s="170" t="s">
        <v>193</v>
      </c>
      <c r="AU131" s="170" t="s">
        <v>87</v>
      </c>
      <c r="AV131" s="15" t="s">
        <v>185</v>
      </c>
      <c r="AW131" s="15" t="s">
        <v>36</v>
      </c>
      <c r="AX131" s="15" t="s">
        <v>85</v>
      </c>
      <c r="AY131" s="170" t="s">
        <v>177</v>
      </c>
    </row>
    <row r="132" spans="2:65" s="1" customFormat="1" ht="37.9" customHeight="1">
      <c r="B132" s="128"/>
      <c r="C132" s="129" t="s">
        <v>252</v>
      </c>
      <c r="D132" s="129" t="s">
        <v>180</v>
      </c>
      <c r="E132" s="130" t="s">
        <v>1516</v>
      </c>
      <c r="F132" s="131" t="s">
        <v>1517</v>
      </c>
      <c r="G132" s="132" t="s">
        <v>332</v>
      </c>
      <c r="H132" s="133">
        <v>115.32</v>
      </c>
      <c r="I132" s="134"/>
      <c r="J132" s="135">
        <f>ROUND(I132*H132,2)</f>
        <v>0</v>
      </c>
      <c r="K132" s="131" t="s">
        <v>184</v>
      </c>
      <c r="L132" s="33"/>
      <c r="M132" s="136" t="s">
        <v>3</v>
      </c>
      <c r="N132" s="137" t="s">
        <v>48</v>
      </c>
      <c r="P132" s="138">
        <f>O132*H132</f>
        <v>0</v>
      </c>
      <c r="Q132" s="138">
        <v>0</v>
      </c>
      <c r="R132" s="138">
        <f>Q132*H132</f>
        <v>0</v>
      </c>
      <c r="S132" s="138">
        <v>0.046</v>
      </c>
      <c r="T132" s="139">
        <f>S132*H132</f>
        <v>5.30472</v>
      </c>
      <c r="AR132" s="140" t="s">
        <v>185</v>
      </c>
      <c r="AT132" s="140" t="s">
        <v>180</v>
      </c>
      <c r="AU132" s="140" t="s">
        <v>87</v>
      </c>
      <c r="AY132" s="18" t="s">
        <v>177</v>
      </c>
      <c r="BE132" s="141">
        <f>IF(N132="základní",J132,0)</f>
        <v>0</v>
      </c>
      <c r="BF132" s="141">
        <f>IF(N132="snížená",J132,0)</f>
        <v>0</v>
      </c>
      <c r="BG132" s="141">
        <f>IF(N132="zákl. přenesená",J132,0)</f>
        <v>0</v>
      </c>
      <c r="BH132" s="141">
        <f>IF(N132="sníž. přenesená",J132,0)</f>
        <v>0</v>
      </c>
      <c r="BI132" s="141">
        <f>IF(N132="nulová",J132,0)</f>
        <v>0</v>
      </c>
      <c r="BJ132" s="18" t="s">
        <v>85</v>
      </c>
      <c r="BK132" s="141">
        <f>ROUND(I132*H132,2)</f>
        <v>0</v>
      </c>
      <c r="BL132" s="18" t="s">
        <v>185</v>
      </c>
      <c r="BM132" s="140" t="s">
        <v>1518</v>
      </c>
    </row>
    <row r="133" spans="2:47" s="1" customFormat="1" ht="29.25">
      <c r="B133" s="33"/>
      <c r="D133" s="142" t="s">
        <v>187</v>
      </c>
      <c r="F133" s="143" t="s">
        <v>1519</v>
      </c>
      <c r="I133" s="144"/>
      <c r="L133" s="33"/>
      <c r="M133" s="145"/>
      <c r="T133" s="54"/>
      <c r="AT133" s="18" t="s">
        <v>187</v>
      </c>
      <c r="AU133" s="18" t="s">
        <v>87</v>
      </c>
    </row>
    <row r="134" spans="2:47" s="1" customFormat="1" ht="11.25">
      <c r="B134" s="33"/>
      <c r="D134" s="146" t="s">
        <v>189</v>
      </c>
      <c r="F134" s="147" t="s">
        <v>1520</v>
      </c>
      <c r="I134" s="144"/>
      <c r="L134" s="33"/>
      <c r="M134" s="145"/>
      <c r="T134" s="54"/>
      <c r="AT134" s="18" t="s">
        <v>189</v>
      </c>
      <c r="AU134" s="18" t="s">
        <v>87</v>
      </c>
    </row>
    <row r="135" spans="2:47" s="1" customFormat="1" ht="39">
      <c r="B135" s="33"/>
      <c r="D135" s="142" t="s">
        <v>191</v>
      </c>
      <c r="F135" s="148" t="s">
        <v>1112</v>
      </c>
      <c r="I135" s="144"/>
      <c r="L135" s="33"/>
      <c r="M135" s="145"/>
      <c r="T135" s="54"/>
      <c r="AT135" s="18" t="s">
        <v>191</v>
      </c>
      <c r="AU135" s="18" t="s">
        <v>87</v>
      </c>
    </row>
    <row r="136" spans="2:51" s="12" customFormat="1" ht="11.25">
      <c r="B136" s="149"/>
      <c r="D136" s="142" t="s">
        <v>193</v>
      </c>
      <c r="E136" s="150" t="s">
        <v>3</v>
      </c>
      <c r="F136" s="151" t="s">
        <v>1521</v>
      </c>
      <c r="H136" s="152">
        <v>90.988</v>
      </c>
      <c r="I136" s="153"/>
      <c r="L136" s="149"/>
      <c r="M136" s="154"/>
      <c r="T136" s="155"/>
      <c r="AT136" s="150" t="s">
        <v>193</v>
      </c>
      <c r="AU136" s="150" t="s">
        <v>87</v>
      </c>
      <c r="AV136" s="12" t="s">
        <v>87</v>
      </c>
      <c r="AW136" s="12" t="s">
        <v>36</v>
      </c>
      <c r="AX136" s="12" t="s">
        <v>77</v>
      </c>
      <c r="AY136" s="150" t="s">
        <v>177</v>
      </c>
    </row>
    <row r="137" spans="2:51" s="12" customFormat="1" ht="11.25">
      <c r="B137" s="149"/>
      <c r="D137" s="142" t="s">
        <v>193</v>
      </c>
      <c r="E137" s="150" t="s">
        <v>3</v>
      </c>
      <c r="F137" s="151" t="s">
        <v>1522</v>
      </c>
      <c r="H137" s="152">
        <v>24.332</v>
      </c>
      <c r="I137" s="153"/>
      <c r="L137" s="149"/>
      <c r="M137" s="154"/>
      <c r="T137" s="155"/>
      <c r="AT137" s="150" t="s">
        <v>193</v>
      </c>
      <c r="AU137" s="150" t="s">
        <v>87</v>
      </c>
      <c r="AV137" s="12" t="s">
        <v>87</v>
      </c>
      <c r="AW137" s="12" t="s">
        <v>36</v>
      </c>
      <c r="AX137" s="12" t="s">
        <v>77</v>
      </c>
      <c r="AY137" s="150" t="s">
        <v>177</v>
      </c>
    </row>
    <row r="138" spans="2:51" s="15" customFormat="1" ht="11.25">
      <c r="B138" s="169"/>
      <c r="D138" s="142" t="s">
        <v>193</v>
      </c>
      <c r="E138" s="170" t="s">
        <v>3</v>
      </c>
      <c r="F138" s="171" t="s">
        <v>201</v>
      </c>
      <c r="H138" s="172">
        <v>115.32</v>
      </c>
      <c r="I138" s="173"/>
      <c r="L138" s="169"/>
      <c r="M138" s="174"/>
      <c r="T138" s="175"/>
      <c r="AT138" s="170" t="s">
        <v>193</v>
      </c>
      <c r="AU138" s="170" t="s">
        <v>87</v>
      </c>
      <c r="AV138" s="15" t="s">
        <v>185</v>
      </c>
      <c r="AW138" s="15" t="s">
        <v>36</v>
      </c>
      <c r="AX138" s="15" t="s">
        <v>85</v>
      </c>
      <c r="AY138" s="170" t="s">
        <v>177</v>
      </c>
    </row>
    <row r="139" spans="2:65" s="1" customFormat="1" ht="24.2" customHeight="1">
      <c r="B139" s="128"/>
      <c r="C139" s="129" t="s">
        <v>258</v>
      </c>
      <c r="D139" s="129" t="s">
        <v>180</v>
      </c>
      <c r="E139" s="130" t="s">
        <v>1118</v>
      </c>
      <c r="F139" s="131" t="s">
        <v>1119</v>
      </c>
      <c r="G139" s="132" t="s">
        <v>332</v>
      </c>
      <c r="H139" s="133">
        <v>46.207</v>
      </c>
      <c r="I139" s="134"/>
      <c r="J139" s="135">
        <f>ROUND(I139*H139,2)</f>
        <v>0</v>
      </c>
      <c r="K139" s="131" t="s">
        <v>184</v>
      </c>
      <c r="L139" s="33"/>
      <c r="M139" s="136" t="s">
        <v>3</v>
      </c>
      <c r="N139" s="137" t="s">
        <v>48</v>
      </c>
      <c r="P139" s="138">
        <f>O139*H139</f>
        <v>0</v>
      </c>
      <c r="Q139" s="138">
        <v>0</v>
      </c>
      <c r="R139" s="138">
        <f>Q139*H139</f>
        <v>0</v>
      </c>
      <c r="S139" s="138">
        <v>0.066</v>
      </c>
      <c r="T139" s="139">
        <f>S139*H139</f>
        <v>3.049662</v>
      </c>
      <c r="AR139" s="140" t="s">
        <v>185</v>
      </c>
      <c r="AT139" s="140" t="s">
        <v>180</v>
      </c>
      <c r="AU139" s="140" t="s">
        <v>87</v>
      </c>
      <c r="AY139" s="18" t="s">
        <v>177</v>
      </c>
      <c r="BE139" s="141">
        <f>IF(N139="základní",J139,0)</f>
        <v>0</v>
      </c>
      <c r="BF139" s="141">
        <f>IF(N139="snížená",J139,0)</f>
        <v>0</v>
      </c>
      <c r="BG139" s="141">
        <f>IF(N139="zákl. přenesená",J139,0)</f>
        <v>0</v>
      </c>
      <c r="BH139" s="141">
        <f>IF(N139="sníž. přenesená",J139,0)</f>
        <v>0</v>
      </c>
      <c r="BI139" s="141">
        <f>IF(N139="nulová",J139,0)</f>
        <v>0</v>
      </c>
      <c r="BJ139" s="18" t="s">
        <v>85</v>
      </c>
      <c r="BK139" s="141">
        <f>ROUND(I139*H139,2)</f>
        <v>0</v>
      </c>
      <c r="BL139" s="18" t="s">
        <v>185</v>
      </c>
      <c r="BM139" s="140" t="s">
        <v>1523</v>
      </c>
    </row>
    <row r="140" spans="2:47" s="1" customFormat="1" ht="19.5">
      <c r="B140" s="33"/>
      <c r="D140" s="142" t="s">
        <v>187</v>
      </c>
      <c r="F140" s="143" t="s">
        <v>1121</v>
      </c>
      <c r="I140" s="144"/>
      <c r="L140" s="33"/>
      <c r="M140" s="145"/>
      <c r="T140" s="54"/>
      <c r="AT140" s="18" t="s">
        <v>187</v>
      </c>
      <c r="AU140" s="18" t="s">
        <v>87</v>
      </c>
    </row>
    <row r="141" spans="2:47" s="1" customFormat="1" ht="11.25">
      <c r="B141" s="33"/>
      <c r="D141" s="146" t="s">
        <v>189</v>
      </c>
      <c r="F141" s="147" t="s">
        <v>1122</v>
      </c>
      <c r="I141" s="144"/>
      <c r="L141" s="33"/>
      <c r="M141" s="145"/>
      <c r="T141" s="54"/>
      <c r="AT141" s="18" t="s">
        <v>189</v>
      </c>
      <c r="AU141" s="18" t="s">
        <v>87</v>
      </c>
    </row>
    <row r="142" spans="2:47" s="1" customFormat="1" ht="48.75">
      <c r="B142" s="33"/>
      <c r="D142" s="142" t="s">
        <v>191</v>
      </c>
      <c r="F142" s="148" t="s">
        <v>350</v>
      </c>
      <c r="I142" s="144"/>
      <c r="L142" s="33"/>
      <c r="M142" s="145"/>
      <c r="T142" s="54"/>
      <c r="AT142" s="18" t="s">
        <v>191</v>
      </c>
      <c r="AU142" s="18" t="s">
        <v>87</v>
      </c>
    </row>
    <row r="143" spans="2:65" s="1" customFormat="1" ht="24.2" customHeight="1">
      <c r="B143" s="128"/>
      <c r="C143" s="129" t="s">
        <v>265</v>
      </c>
      <c r="D143" s="129" t="s">
        <v>180</v>
      </c>
      <c r="E143" s="130" t="s">
        <v>1125</v>
      </c>
      <c r="F143" s="131" t="s">
        <v>1126</v>
      </c>
      <c r="G143" s="132" t="s">
        <v>332</v>
      </c>
      <c r="H143" s="133">
        <v>61.609</v>
      </c>
      <c r="I143" s="134"/>
      <c r="J143" s="135">
        <f>ROUND(I143*H143,2)</f>
        <v>0</v>
      </c>
      <c r="K143" s="131" t="s">
        <v>184</v>
      </c>
      <c r="L143" s="33"/>
      <c r="M143" s="136" t="s">
        <v>3</v>
      </c>
      <c r="N143" s="137" t="s">
        <v>48</v>
      </c>
      <c r="P143" s="138">
        <f>O143*H143</f>
        <v>0</v>
      </c>
      <c r="Q143" s="138">
        <v>0</v>
      </c>
      <c r="R143" s="138">
        <f>Q143*H143</f>
        <v>0</v>
      </c>
      <c r="S143" s="138">
        <v>0.11</v>
      </c>
      <c r="T143" s="139">
        <f>S143*H143</f>
        <v>6.7769900000000005</v>
      </c>
      <c r="AR143" s="140" t="s">
        <v>185</v>
      </c>
      <c r="AT143" s="140" t="s">
        <v>180</v>
      </c>
      <c r="AU143" s="140" t="s">
        <v>87</v>
      </c>
      <c r="AY143" s="18" t="s">
        <v>177</v>
      </c>
      <c r="BE143" s="141">
        <f>IF(N143="základní",J143,0)</f>
        <v>0</v>
      </c>
      <c r="BF143" s="141">
        <f>IF(N143="snížená",J143,0)</f>
        <v>0</v>
      </c>
      <c r="BG143" s="141">
        <f>IF(N143="zákl. přenesená",J143,0)</f>
        <v>0</v>
      </c>
      <c r="BH143" s="141">
        <f>IF(N143="sníž. přenesená",J143,0)</f>
        <v>0</v>
      </c>
      <c r="BI143" s="141">
        <f>IF(N143="nulová",J143,0)</f>
        <v>0</v>
      </c>
      <c r="BJ143" s="18" t="s">
        <v>85</v>
      </c>
      <c r="BK143" s="141">
        <f>ROUND(I143*H143,2)</f>
        <v>0</v>
      </c>
      <c r="BL143" s="18" t="s">
        <v>185</v>
      </c>
      <c r="BM143" s="140" t="s">
        <v>1524</v>
      </c>
    </row>
    <row r="144" spans="2:47" s="1" customFormat="1" ht="19.5">
      <c r="B144" s="33"/>
      <c r="D144" s="142" t="s">
        <v>187</v>
      </c>
      <c r="F144" s="143" t="s">
        <v>1128</v>
      </c>
      <c r="I144" s="144"/>
      <c r="L144" s="33"/>
      <c r="M144" s="145"/>
      <c r="T144" s="54"/>
      <c r="AT144" s="18" t="s">
        <v>187</v>
      </c>
      <c r="AU144" s="18" t="s">
        <v>87</v>
      </c>
    </row>
    <row r="145" spans="2:47" s="1" customFormat="1" ht="11.25">
      <c r="B145" s="33"/>
      <c r="D145" s="146" t="s">
        <v>189</v>
      </c>
      <c r="F145" s="147" t="s">
        <v>1129</v>
      </c>
      <c r="I145" s="144"/>
      <c r="L145" s="33"/>
      <c r="M145" s="145"/>
      <c r="T145" s="54"/>
      <c r="AT145" s="18" t="s">
        <v>189</v>
      </c>
      <c r="AU145" s="18" t="s">
        <v>87</v>
      </c>
    </row>
    <row r="146" spans="2:47" s="1" customFormat="1" ht="48.75">
      <c r="B146" s="33"/>
      <c r="D146" s="142" t="s">
        <v>191</v>
      </c>
      <c r="F146" s="148" t="s">
        <v>350</v>
      </c>
      <c r="I146" s="144"/>
      <c r="L146" s="33"/>
      <c r="M146" s="145"/>
      <c r="T146" s="54"/>
      <c r="AT146" s="18" t="s">
        <v>191</v>
      </c>
      <c r="AU146" s="18" t="s">
        <v>87</v>
      </c>
    </row>
    <row r="147" spans="2:65" s="1" customFormat="1" ht="33" customHeight="1">
      <c r="B147" s="128"/>
      <c r="C147" s="129" t="s">
        <v>271</v>
      </c>
      <c r="D147" s="129" t="s">
        <v>180</v>
      </c>
      <c r="E147" s="130" t="s">
        <v>367</v>
      </c>
      <c r="F147" s="131" t="s">
        <v>368</v>
      </c>
      <c r="G147" s="132" t="s">
        <v>332</v>
      </c>
      <c r="H147" s="133">
        <v>107.816</v>
      </c>
      <c r="I147" s="134"/>
      <c r="J147" s="135">
        <f>ROUND(I147*H147,2)</f>
        <v>0</v>
      </c>
      <c r="K147" s="131" t="s">
        <v>184</v>
      </c>
      <c r="L147" s="33"/>
      <c r="M147" s="136" t="s">
        <v>3</v>
      </c>
      <c r="N147" s="137" t="s">
        <v>48</v>
      </c>
      <c r="P147" s="138">
        <f>O147*H147</f>
        <v>0</v>
      </c>
      <c r="Q147" s="138">
        <v>0</v>
      </c>
      <c r="R147" s="138">
        <f>Q147*H147</f>
        <v>0</v>
      </c>
      <c r="S147" s="138">
        <v>0.07</v>
      </c>
      <c r="T147" s="139">
        <f>S147*H147</f>
        <v>7.5471200000000005</v>
      </c>
      <c r="AR147" s="140" t="s">
        <v>185</v>
      </c>
      <c r="AT147" s="140" t="s">
        <v>180</v>
      </c>
      <c r="AU147" s="140" t="s">
        <v>87</v>
      </c>
      <c r="AY147" s="18" t="s">
        <v>177</v>
      </c>
      <c r="BE147" s="141">
        <f>IF(N147="základní",J147,0)</f>
        <v>0</v>
      </c>
      <c r="BF147" s="141">
        <f>IF(N147="snížená",J147,0)</f>
        <v>0</v>
      </c>
      <c r="BG147" s="141">
        <f>IF(N147="zákl. přenesená",J147,0)</f>
        <v>0</v>
      </c>
      <c r="BH147" s="141">
        <f>IF(N147="sníž. přenesená",J147,0)</f>
        <v>0</v>
      </c>
      <c r="BI147" s="141">
        <f>IF(N147="nulová",J147,0)</f>
        <v>0</v>
      </c>
      <c r="BJ147" s="18" t="s">
        <v>85</v>
      </c>
      <c r="BK147" s="141">
        <f>ROUND(I147*H147,2)</f>
        <v>0</v>
      </c>
      <c r="BL147" s="18" t="s">
        <v>185</v>
      </c>
      <c r="BM147" s="140" t="s">
        <v>1525</v>
      </c>
    </row>
    <row r="148" spans="2:47" s="1" customFormat="1" ht="19.5">
      <c r="B148" s="33"/>
      <c r="D148" s="142" t="s">
        <v>187</v>
      </c>
      <c r="F148" s="143" t="s">
        <v>370</v>
      </c>
      <c r="I148" s="144"/>
      <c r="L148" s="33"/>
      <c r="M148" s="145"/>
      <c r="T148" s="54"/>
      <c r="AT148" s="18" t="s">
        <v>187</v>
      </c>
      <c r="AU148" s="18" t="s">
        <v>87</v>
      </c>
    </row>
    <row r="149" spans="2:47" s="1" customFormat="1" ht="11.25">
      <c r="B149" s="33"/>
      <c r="D149" s="146" t="s">
        <v>189</v>
      </c>
      <c r="F149" s="147" t="s">
        <v>371</v>
      </c>
      <c r="I149" s="144"/>
      <c r="L149" s="33"/>
      <c r="M149" s="145"/>
      <c r="T149" s="54"/>
      <c r="AT149" s="18" t="s">
        <v>189</v>
      </c>
      <c r="AU149" s="18" t="s">
        <v>87</v>
      </c>
    </row>
    <row r="150" spans="2:47" s="1" customFormat="1" ht="78">
      <c r="B150" s="33"/>
      <c r="D150" s="142" t="s">
        <v>191</v>
      </c>
      <c r="F150" s="148" t="s">
        <v>372</v>
      </c>
      <c r="I150" s="144"/>
      <c r="L150" s="33"/>
      <c r="M150" s="145"/>
      <c r="T150" s="54"/>
      <c r="AT150" s="18" t="s">
        <v>191</v>
      </c>
      <c r="AU150" s="18" t="s">
        <v>87</v>
      </c>
    </row>
    <row r="151" spans="2:65" s="1" customFormat="1" ht="24.2" customHeight="1">
      <c r="B151" s="128"/>
      <c r="C151" s="129" t="s">
        <v>277</v>
      </c>
      <c r="D151" s="129" t="s">
        <v>180</v>
      </c>
      <c r="E151" s="130" t="s">
        <v>378</v>
      </c>
      <c r="F151" s="131" t="s">
        <v>379</v>
      </c>
      <c r="G151" s="132" t="s">
        <v>332</v>
      </c>
      <c r="H151" s="133">
        <v>107.816</v>
      </c>
      <c r="I151" s="134"/>
      <c r="J151" s="135">
        <f>ROUND(I151*H151,2)</f>
        <v>0</v>
      </c>
      <c r="K151" s="131" t="s">
        <v>184</v>
      </c>
      <c r="L151" s="33"/>
      <c r="M151" s="136" t="s">
        <v>3</v>
      </c>
      <c r="N151" s="137" t="s">
        <v>48</v>
      </c>
      <c r="P151" s="138">
        <f>O151*H151</f>
        <v>0</v>
      </c>
      <c r="Q151" s="138">
        <v>0</v>
      </c>
      <c r="R151" s="138">
        <f>Q151*H151</f>
        <v>0</v>
      </c>
      <c r="S151" s="138">
        <v>0</v>
      </c>
      <c r="T151" s="139">
        <f>S151*H151</f>
        <v>0</v>
      </c>
      <c r="AR151" s="140" t="s">
        <v>185</v>
      </c>
      <c r="AT151" s="140" t="s">
        <v>180</v>
      </c>
      <c r="AU151" s="140" t="s">
        <v>87</v>
      </c>
      <c r="AY151" s="18" t="s">
        <v>177</v>
      </c>
      <c r="BE151" s="141">
        <f>IF(N151="základní",J151,0)</f>
        <v>0</v>
      </c>
      <c r="BF151" s="141">
        <f>IF(N151="snížená",J151,0)</f>
        <v>0</v>
      </c>
      <c r="BG151" s="141">
        <f>IF(N151="zákl. přenesená",J151,0)</f>
        <v>0</v>
      </c>
      <c r="BH151" s="141">
        <f>IF(N151="sníž. přenesená",J151,0)</f>
        <v>0</v>
      </c>
      <c r="BI151" s="141">
        <f>IF(N151="nulová",J151,0)</f>
        <v>0</v>
      </c>
      <c r="BJ151" s="18" t="s">
        <v>85</v>
      </c>
      <c r="BK151" s="141">
        <f>ROUND(I151*H151,2)</f>
        <v>0</v>
      </c>
      <c r="BL151" s="18" t="s">
        <v>185</v>
      </c>
      <c r="BM151" s="140" t="s">
        <v>1526</v>
      </c>
    </row>
    <row r="152" spans="2:47" s="1" customFormat="1" ht="19.5">
      <c r="B152" s="33"/>
      <c r="D152" s="142" t="s">
        <v>187</v>
      </c>
      <c r="F152" s="143" t="s">
        <v>381</v>
      </c>
      <c r="I152" s="144"/>
      <c r="L152" s="33"/>
      <c r="M152" s="145"/>
      <c r="T152" s="54"/>
      <c r="AT152" s="18" t="s">
        <v>187</v>
      </c>
      <c r="AU152" s="18" t="s">
        <v>87</v>
      </c>
    </row>
    <row r="153" spans="2:47" s="1" customFormat="1" ht="11.25">
      <c r="B153" s="33"/>
      <c r="D153" s="146" t="s">
        <v>189</v>
      </c>
      <c r="F153" s="147" t="s">
        <v>382</v>
      </c>
      <c r="I153" s="144"/>
      <c r="L153" s="33"/>
      <c r="M153" s="145"/>
      <c r="T153" s="54"/>
      <c r="AT153" s="18" t="s">
        <v>189</v>
      </c>
      <c r="AU153" s="18" t="s">
        <v>87</v>
      </c>
    </row>
    <row r="154" spans="2:47" s="1" customFormat="1" ht="78">
      <c r="B154" s="33"/>
      <c r="D154" s="142" t="s">
        <v>191</v>
      </c>
      <c r="F154" s="148" t="s">
        <v>383</v>
      </c>
      <c r="I154" s="144"/>
      <c r="L154" s="33"/>
      <c r="M154" s="145"/>
      <c r="T154" s="54"/>
      <c r="AT154" s="18" t="s">
        <v>191</v>
      </c>
      <c r="AU154" s="18" t="s">
        <v>87</v>
      </c>
    </row>
    <row r="155" spans="2:65" s="1" customFormat="1" ht="24.2" customHeight="1">
      <c r="B155" s="128"/>
      <c r="C155" s="129" t="s">
        <v>283</v>
      </c>
      <c r="D155" s="129" t="s">
        <v>180</v>
      </c>
      <c r="E155" s="130" t="s">
        <v>1149</v>
      </c>
      <c r="F155" s="131" t="s">
        <v>1150</v>
      </c>
      <c r="G155" s="132" t="s">
        <v>332</v>
      </c>
      <c r="H155" s="133">
        <v>46.207</v>
      </c>
      <c r="I155" s="134"/>
      <c r="J155" s="135">
        <f>ROUND(I155*H155,2)</f>
        <v>0</v>
      </c>
      <c r="K155" s="131" t="s">
        <v>184</v>
      </c>
      <c r="L155" s="33"/>
      <c r="M155" s="136" t="s">
        <v>3</v>
      </c>
      <c r="N155" s="137" t="s">
        <v>48</v>
      </c>
      <c r="P155" s="138">
        <f>O155*H155</f>
        <v>0</v>
      </c>
      <c r="Q155" s="138">
        <v>0.04029</v>
      </c>
      <c r="R155" s="138">
        <f>Q155*H155</f>
        <v>1.86168003</v>
      </c>
      <c r="S155" s="138">
        <v>0</v>
      </c>
      <c r="T155" s="139">
        <f>S155*H155</f>
        <v>0</v>
      </c>
      <c r="AR155" s="140" t="s">
        <v>185</v>
      </c>
      <c r="AT155" s="140" t="s">
        <v>180</v>
      </c>
      <c r="AU155" s="140" t="s">
        <v>87</v>
      </c>
      <c r="AY155" s="18" t="s">
        <v>177</v>
      </c>
      <c r="BE155" s="141">
        <f>IF(N155="základní",J155,0)</f>
        <v>0</v>
      </c>
      <c r="BF155" s="141">
        <f>IF(N155="snížená",J155,0)</f>
        <v>0</v>
      </c>
      <c r="BG155" s="141">
        <f>IF(N155="zákl. přenesená",J155,0)</f>
        <v>0</v>
      </c>
      <c r="BH155" s="141">
        <f>IF(N155="sníž. přenesená",J155,0)</f>
        <v>0</v>
      </c>
      <c r="BI155" s="141">
        <f>IF(N155="nulová",J155,0)</f>
        <v>0</v>
      </c>
      <c r="BJ155" s="18" t="s">
        <v>85</v>
      </c>
      <c r="BK155" s="141">
        <f>ROUND(I155*H155,2)</f>
        <v>0</v>
      </c>
      <c r="BL155" s="18" t="s">
        <v>185</v>
      </c>
      <c r="BM155" s="140" t="s">
        <v>1527</v>
      </c>
    </row>
    <row r="156" spans="2:47" s="1" customFormat="1" ht="19.5">
      <c r="B156" s="33"/>
      <c r="D156" s="142" t="s">
        <v>187</v>
      </c>
      <c r="F156" s="143" t="s">
        <v>1152</v>
      </c>
      <c r="I156" s="144"/>
      <c r="L156" s="33"/>
      <c r="M156" s="145"/>
      <c r="T156" s="54"/>
      <c r="AT156" s="18" t="s">
        <v>187</v>
      </c>
      <c r="AU156" s="18" t="s">
        <v>87</v>
      </c>
    </row>
    <row r="157" spans="2:47" s="1" customFormat="1" ht="11.25">
      <c r="B157" s="33"/>
      <c r="D157" s="146" t="s">
        <v>189</v>
      </c>
      <c r="F157" s="147" t="s">
        <v>1153</v>
      </c>
      <c r="I157" s="144"/>
      <c r="L157" s="33"/>
      <c r="M157" s="145"/>
      <c r="T157" s="54"/>
      <c r="AT157" s="18" t="s">
        <v>189</v>
      </c>
      <c r="AU157" s="18" t="s">
        <v>87</v>
      </c>
    </row>
    <row r="158" spans="2:47" s="1" customFormat="1" ht="165.75">
      <c r="B158" s="33"/>
      <c r="D158" s="142" t="s">
        <v>191</v>
      </c>
      <c r="F158" s="148" t="s">
        <v>396</v>
      </c>
      <c r="I158" s="144"/>
      <c r="L158" s="33"/>
      <c r="M158" s="145"/>
      <c r="T158" s="54"/>
      <c r="AT158" s="18" t="s">
        <v>191</v>
      </c>
      <c r="AU158" s="18" t="s">
        <v>87</v>
      </c>
    </row>
    <row r="159" spans="2:51" s="13" customFormat="1" ht="11.25">
      <c r="B159" s="156"/>
      <c r="D159" s="142" t="s">
        <v>193</v>
      </c>
      <c r="E159" s="157" t="s">
        <v>3</v>
      </c>
      <c r="F159" s="158" t="s">
        <v>1528</v>
      </c>
      <c r="H159" s="157" t="s">
        <v>3</v>
      </c>
      <c r="I159" s="159"/>
      <c r="L159" s="156"/>
      <c r="M159" s="160"/>
      <c r="T159" s="161"/>
      <c r="AT159" s="157" t="s">
        <v>193</v>
      </c>
      <c r="AU159" s="157" t="s">
        <v>87</v>
      </c>
      <c r="AV159" s="13" t="s">
        <v>85</v>
      </c>
      <c r="AW159" s="13" t="s">
        <v>36</v>
      </c>
      <c r="AX159" s="13" t="s">
        <v>77</v>
      </c>
      <c r="AY159" s="157" t="s">
        <v>177</v>
      </c>
    </row>
    <row r="160" spans="2:51" s="12" customFormat="1" ht="11.25">
      <c r="B160" s="149"/>
      <c r="D160" s="142" t="s">
        <v>193</v>
      </c>
      <c r="E160" s="150" t="s">
        <v>3</v>
      </c>
      <c r="F160" s="151" t="s">
        <v>1529</v>
      </c>
      <c r="H160" s="152">
        <v>46.207</v>
      </c>
      <c r="I160" s="153"/>
      <c r="L160" s="149"/>
      <c r="M160" s="154"/>
      <c r="T160" s="155"/>
      <c r="AT160" s="150" t="s">
        <v>193</v>
      </c>
      <c r="AU160" s="150" t="s">
        <v>87</v>
      </c>
      <c r="AV160" s="12" t="s">
        <v>87</v>
      </c>
      <c r="AW160" s="12" t="s">
        <v>36</v>
      </c>
      <c r="AX160" s="12" t="s">
        <v>85</v>
      </c>
      <c r="AY160" s="150" t="s">
        <v>177</v>
      </c>
    </row>
    <row r="161" spans="2:65" s="1" customFormat="1" ht="24.2" customHeight="1">
      <c r="B161" s="128"/>
      <c r="C161" s="129" t="s">
        <v>9</v>
      </c>
      <c r="D161" s="129" t="s">
        <v>180</v>
      </c>
      <c r="E161" s="130" t="s">
        <v>1157</v>
      </c>
      <c r="F161" s="131" t="s">
        <v>1158</v>
      </c>
      <c r="G161" s="132" t="s">
        <v>332</v>
      </c>
      <c r="H161" s="133">
        <v>61.609</v>
      </c>
      <c r="I161" s="134"/>
      <c r="J161" s="135">
        <f>ROUND(I161*H161,2)</f>
        <v>0</v>
      </c>
      <c r="K161" s="131" t="s">
        <v>184</v>
      </c>
      <c r="L161" s="33"/>
      <c r="M161" s="136" t="s">
        <v>3</v>
      </c>
      <c r="N161" s="137" t="s">
        <v>48</v>
      </c>
      <c r="P161" s="138">
        <f>O161*H161</f>
        <v>0</v>
      </c>
      <c r="Q161" s="138">
        <v>0.08374</v>
      </c>
      <c r="R161" s="138">
        <f>Q161*H161</f>
        <v>5.15913766</v>
      </c>
      <c r="S161" s="138">
        <v>0</v>
      </c>
      <c r="T161" s="139">
        <f>S161*H161</f>
        <v>0</v>
      </c>
      <c r="AR161" s="140" t="s">
        <v>185</v>
      </c>
      <c r="AT161" s="140" t="s">
        <v>180</v>
      </c>
      <c r="AU161" s="140" t="s">
        <v>87</v>
      </c>
      <c r="AY161" s="18" t="s">
        <v>177</v>
      </c>
      <c r="BE161" s="141">
        <f>IF(N161="základní",J161,0)</f>
        <v>0</v>
      </c>
      <c r="BF161" s="141">
        <f>IF(N161="snížená",J161,0)</f>
        <v>0</v>
      </c>
      <c r="BG161" s="141">
        <f>IF(N161="zákl. přenesená",J161,0)</f>
        <v>0</v>
      </c>
      <c r="BH161" s="141">
        <f>IF(N161="sníž. přenesená",J161,0)</f>
        <v>0</v>
      </c>
      <c r="BI161" s="141">
        <f>IF(N161="nulová",J161,0)</f>
        <v>0</v>
      </c>
      <c r="BJ161" s="18" t="s">
        <v>85</v>
      </c>
      <c r="BK161" s="141">
        <f>ROUND(I161*H161,2)</f>
        <v>0</v>
      </c>
      <c r="BL161" s="18" t="s">
        <v>185</v>
      </c>
      <c r="BM161" s="140" t="s">
        <v>1530</v>
      </c>
    </row>
    <row r="162" spans="2:47" s="1" customFormat="1" ht="19.5">
      <c r="B162" s="33"/>
      <c r="D162" s="142" t="s">
        <v>187</v>
      </c>
      <c r="F162" s="143" t="s">
        <v>1160</v>
      </c>
      <c r="I162" s="144"/>
      <c r="L162" s="33"/>
      <c r="M162" s="145"/>
      <c r="T162" s="54"/>
      <c r="AT162" s="18" t="s">
        <v>187</v>
      </c>
      <c r="AU162" s="18" t="s">
        <v>87</v>
      </c>
    </row>
    <row r="163" spans="2:47" s="1" customFormat="1" ht="11.25">
      <c r="B163" s="33"/>
      <c r="D163" s="146" t="s">
        <v>189</v>
      </c>
      <c r="F163" s="147" t="s">
        <v>1161</v>
      </c>
      <c r="I163" s="144"/>
      <c r="L163" s="33"/>
      <c r="M163" s="145"/>
      <c r="T163" s="54"/>
      <c r="AT163" s="18" t="s">
        <v>189</v>
      </c>
      <c r="AU163" s="18" t="s">
        <v>87</v>
      </c>
    </row>
    <row r="164" spans="2:47" s="1" customFormat="1" ht="165.75">
      <c r="B164" s="33"/>
      <c r="D164" s="142" t="s">
        <v>191</v>
      </c>
      <c r="F164" s="148" t="s">
        <v>396</v>
      </c>
      <c r="I164" s="144"/>
      <c r="L164" s="33"/>
      <c r="M164" s="145"/>
      <c r="T164" s="54"/>
      <c r="AT164" s="18" t="s">
        <v>191</v>
      </c>
      <c r="AU164" s="18" t="s">
        <v>87</v>
      </c>
    </row>
    <row r="165" spans="2:51" s="13" customFormat="1" ht="11.25">
      <c r="B165" s="156"/>
      <c r="D165" s="142" t="s">
        <v>193</v>
      </c>
      <c r="E165" s="157" t="s">
        <v>3</v>
      </c>
      <c r="F165" s="158" t="s">
        <v>1531</v>
      </c>
      <c r="H165" s="157" t="s">
        <v>3</v>
      </c>
      <c r="I165" s="159"/>
      <c r="L165" s="156"/>
      <c r="M165" s="160"/>
      <c r="T165" s="161"/>
      <c r="AT165" s="157" t="s">
        <v>193</v>
      </c>
      <c r="AU165" s="157" t="s">
        <v>87</v>
      </c>
      <c r="AV165" s="13" t="s">
        <v>85</v>
      </c>
      <c r="AW165" s="13" t="s">
        <v>36</v>
      </c>
      <c r="AX165" s="13" t="s">
        <v>77</v>
      </c>
      <c r="AY165" s="157" t="s">
        <v>177</v>
      </c>
    </row>
    <row r="166" spans="2:51" s="12" customFormat="1" ht="11.25">
      <c r="B166" s="149"/>
      <c r="D166" s="142" t="s">
        <v>193</v>
      </c>
      <c r="E166" s="150" t="s">
        <v>3</v>
      </c>
      <c r="F166" s="151" t="s">
        <v>1532</v>
      </c>
      <c r="H166" s="152">
        <v>61.609</v>
      </c>
      <c r="I166" s="153"/>
      <c r="L166" s="149"/>
      <c r="M166" s="154"/>
      <c r="T166" s="155"/>
      <c r="AT166" s="150" t="s">
        <v>193</v>
      </c>
      <c r="AU166" s="150" t="s">
        <v>87</v>
      </c>
      <c r="AV166" s="12" t="s">
        <v>87</v>
      </c>
      <c r="AW166" s="12" t="s">
        <v>36</v>
      </c>
      <c r="AX166" s="12" t="s">
        <v>85</v>
      </c>
      <c r="AY166" s="150" t="s">
        <v>177</v>
      </c>
    </row>
    <row r="167" spans="2:65" s="1" customFormat="1" ht="24.2" customHeight="1">
      <c r="B167" s="128"/>
      <c r="C167" s="129" t="s">
        <v>237</v>
      </c>
      <c r="D167" s="129" t="s">
        <v>180</v>
      </c>
      <c r="E167" s="130" t="s">
        <v>1533</v>
      </c>
      <c r="F167" s="131" t="s">
        <v>1534</v>
      </c>
      <c r="G167" s="132" t="s">
        <v>332</v>
      </c>
      <c r="H167" s="133">
        <v>107.815</v>
      </c>
      <c r="I167" s="134"/>
      <c r="J167" s="135">
        <f>ROUND(I167*H167,2)</f>
        <v>0</v>
      </c>
      <c r="K167" s="131" t="s">
        <v>184</v>
      </c>
      <c r="L167" s="33"/>
      <c r="M167" s="136" t="s">
        <v>3</v>
      </c>
      <c r="N167" s="137" t="s">
        <v>48</v>
      </c>
      <c r="P167" s="138">
        <f>O167*H167</f>
        <v>0</v>
      </c>
      <c r="Q167" s="138">
        <v>0.00359</v>
      </c>
      <c r="R167" s="138">
        <f>Q167*H167</f>
        <v>0.38705585</v>
      </c>
      <c r="S167" s="138">
        <v>0</v>
      </c>
      <c r="T167" s="139">
        <f>S167*H167</f>
        <v>0</v>
      </c>
      <c r="AR167" s="140" t="s">
        <v>185</v>
      </c>
      <c r="AT167" s="140" t="s">
        <v>180</v>
      </c>
      <c r="AU167" s="140" t="s">
        <v>87</v>
      </c>
      <c r="AY167" s="18" t="s">
        <v>177</v>
      </c>
      <c r="BE167" s="141">
        <f>IF(N167="základní",J167,0)</f>
        <v>0</v>
      </c>
      <c r="BF167" s="141">
        <f>IF(N167="snížená",J167,0)</f>
        <v>0</v>
      </c>
      <c r="BG167" s="141">
        <f>IF(N167="zákl. přenesená",J167,0)</f>
        <v>0</v>
      </c>
      <c r="BH167" s="141">
        <f>IF(N167="sníž. přenesená",J167,0)</f>
        <v>0</v>
      </c>
      <c r="BI167" s="141">
        <f>IF(N167="nulová",J167,0)</f>
        <v>0</v>
      </c>
      <c r="BJ167" s="18" t="s">
        <v>85</v>
      </c>
      <c r="BK167" s="141">
        <f>ROUND(I167*H167,2)</f>
        <v>0</v>
      </c>
      <c r="BL167" s="18" t="s">
        <v>185</v>
      </c>
      <c r="BM167" s="140" t="s">
        <v>1535</v>
      </c>
    </row>
    <row r="168" spans="2:47" s="1" customFormat="1" ht="19.5">
      <c r="B168" s="33"/>
      <c r="D168" s="142" t="s">
        <v>187</v>
      </c>
      <c r="F168" s="143" t="s">
        <v>1536</v>
      </c>
      <c r="I168" s="144"/>
      <c r="L168" s="33"/>
      <c r="M168" s="145"/>
      <c r="T168" s="54"/>
      <c r="AT168" s="18" t="s">
        <v>187</v>
      </c>
      <c r="AU168" s="18" t="s">
        <v>87</v>
      </c>
    </row>
    <row r="169" spans="2:47" s="1" customFormat="1" ht="11.25">
      <c r="B169" s="33"/>
      <c r="D169" s="146" t="s">
        <v>189</v>
      </c>
      <c r="F169" s="147" t="s">
        <v>1537</v>
      </c>
      <c r="I169" s="144"/>
      <c r="L169" s="33"/>
      <c r="M169" s="145"/>
      <c r="T169" s="54"/>
      <c r="AT169" s="18" t="s">
        <v>189</v>
      </c>
      <c r="AU169" s="18" t="s">
        <v>87</v>
      </c>
    </row>
    <row r="170" spans="2:47" s="1" customFormat="1" ht="39">
      <c r="B170" s="33"/>
      <c r="D170" s="142" t="s">
        <v>191</v>
      </c>
      <c r="F170" s="148" t="s">
        <v>448</v>
      </c>
      <c r="I170" s="144"/>
      <c r="L170" s="33"/>
      <c r="M170" s="145"/>
      <c r="T170" s="54"/>
      <c r="AT170" s="18" t="s">
        <v>191</v>
      </c>
      <c r="AU170" s="18" t="s">
        <v>87</v>
      </c>
    </row>
    <row r="171" spans="2:51" s="12" customFormat="1" ht="11.25">
      <c r="B171" s="149"/>
      <c r="D171" s="142" t="s">
        <v>193</v>
      </c>
      <c r="E171" s="150" t="s">
        <v>3</v>
      </c>
      <c r="F171" s="151" t="s">
        <v>1538</v>
      </c>
      <c r="H171" s="152">
        <v>107.815</v>
      </c>
      <c r="I171" s="153"/>
      <c r="L171" s="149"/>
      <c r="M171" s="154"/>
      <c r="T171" s="155"/>
      <c r="AT171" s="150" t="s">
        <v>193</v>
      </c>
      <c r="AU171" s="150" t="s">
        <v>87</v>
      </c>
      <c r="AV171" s="12" t="s">
        <v>87</v>
      </c>
      <c r="AW171" s="12" t="s">
        <v>36</v>
      </c>
      <c r="AX171" s="12" t="s">
        <v>85</v>
      </c>
      <c r="AY171" s="150" t="s">
        <v>177</v>
      </c>
    </row>
    <row r="172" spans="2:65" s="1" customFormat="1" ht="24.2" customHeight="1">
      <c r="B172" s="128"/>
      <c r="C172" s="129" t="s">
        <v>302</v>
      </c>
      <c r="D172" s="129" t="s">
        <v>180</v>
      </c>
      <c r="E172" s="130" t="s">
        <v>1168</v>
      </c>
      <c r="F172" s="131" t="s">
        <v>1169</v>
      </c>
      <c r="G172" s="132" t="s">
        <v>332</v>
      </c>
      <c r="H172" s="133">
        <v>61.609</v>
      </c>
      <c r="I172" s="134"/>
      <c r="J172" s="135">
        <f>ROUND(I172*H172,2)</f>
        <v>0</v>
      </c>
      <c r="K172" s="131" t="s">
        <v>184</v>
      </c>
      <c r="L172" s="33"/>
      <c r="M172" s="136" t="s">
        <v>3</v>
      </c>
      <c r="N172" s="137" t="s">
        <v>48</v>
      </c>
      <c r="P172" s="138">
        <f>O172*H172</f>
        <v>0</v>
      </c>
      <c r="Q172" s="138">
        <v>0.00134</v>
      </c>
      <c r="R172" s="138">
        <f>Q172*H172</f>
        <v>0.08255606</v>
      </c>
      <c r="S172" s="138">
        <v>0</v>
      </c>
      <c r="T172" s="139">
        <f>S172*H172</f>
        <v>0</v>
      </c>
      <c r="AR172" s="140" t="s">
        <v>185</v>
      </c>
      <c r="AT172" s="140" t="s">
        <v>180</v>
      </c>
      <c r="AU172" s="140" t="s">
        <v>87</v>
      </c>
      <c r="AY172" s="18" t="s">
        <v>177</v>
      </c>
      <c r="BE172" s="141">
        <f>IF(N172="základní",J172,0)</f>
        <v>0</v>
      </c>
      <c r="BF172" s="141">
        <f>IF(N172="snížená",J172,0)</f>
        <v>0</v>
      </c>
      <c r="BG172" s="141">
        <f>IF(N172="zákl. přenesená",J172,0)</f>
        <v>0</v>
      </c>
      <c r="BH172" s="141">
        <f>IF(N172="sníž. přenesená",J172,0)</f>
        <v>0</v>
      </c>
      <c r="BI172" s="141">
        <f>IF(N172="nulová",J172,0)</f>
        <v>0</v>
      </c>
      <c r="BJ172" s="18" t="s">
        <v>85</v>
      </c>
      <c r="BK172" s="141">
        <f>ROUND(I172*H172,2)</f>
        <v>0</v>
      </c>
      <c r="BL172" s="18" t="s">
        <v>185</v>
      </c>
      <c r="BM172" s="140" t="s">
        <v>1539</v>
      </c>
    </row>
    <row r="173" spans="2:47" s="1" customFormat="1" ht="19.5">
      <c r="B173" s="33"/>
      <c r="D173" s="142" t="s">
        <v>187</v>
      </c>
      <c r="F173" s="143" t="s">
        <v>1171</v>
      </c>
      <c r="I173" s="144"/>
      <c r="L173" s="33"/>
      <c r="M173" s="145"/>
      <c r="T173" s="54"/>
      <c r="AT173" s="18" t="s">
        <v>187</v>
      </c>
      <c r="AU173" s="18" t="s">
        <v>87</v>
      </c>
    </row>
    <row r="174" spans="2:47" s="1" customFormat="1" ht="11.25">
      <c r="B174" s="33"/>
      <c r="D174" s="146" t="s">
        <v>189</v>
      </c>
      <c r="F174" s="147" t="s">
        <v>1172</v>
      </c>
      <c r="I174" s="144"/>
      <c r="L174" s="33"/>
      <c r="M174" s="145"/>
      <c r="T174" s="54"/>
      <c r="AT174" s="18" t="s">
        <v>189</v>
      </c>
      <c r="AU174" s="18" t="s">
        <v>87</v>
      </c>
    </row>
    <row r="175" spans="2:47" s="1" customFormat="1" ht="48.75">
      <c r="B175" s="33"/>
      <c r="D175" s="142" t="s">
        <v>191</v>
      </c>
      <c r="F175" s="148" t="s">
        <v>459</v>
      </c>
      <c r="I175" s="144"/>
      <c r="L175" s="33"/>
      <c r="M175" s="145"/>
      <c r="T175" s="54"/>
      <c r="AT175" s="18" t="s">
        <v>191</v>
      </c>
      <c r="AU175" s="18" t="s">
        <v>87</v>
      </c>
    </row>
    <row r="176" spans="2:65" s="1" customFormat="1" ht="24.2" customHeight="1">
      <c r="B176" s="128"/>
      <c r="C176" s="129" t="s">
        <v>315</v>
      </c>
      <c r="D176" s="129" t="s">
        <v>180</v>
      </c>
      <c r="E176" s="130" t="s">
        <v>462</v>
      </c>
      <c r="F176" s="131" t="s">
        <v>463</v>
      </c>
      <c r="G176" s="132" t="s">
        <v>332</v>
      </c>
      <c r="H176" s="133">
        <v>107.816</v>
      </c>
      <c r="I176" s="134"/>
      <c r="J176" s="135">
        <f>ROUND(I176*H176,2)</f>
        <v>0</v>
      </c>
      <c r="K176" s="131" t="s">
        <v>184</v>
      </c>
      <c r="L176" s="33"/>
      <c r="M176" s="136" t="s">
        <v>3</v>
      </c>
      <c r="N176" s="137" t="s">
        <v>48</v>
      </c>
      <c r="P176" s="138">
        <f>O176*H176</f>
        <v>0</v>
      </c>
      <c r="Q176" s="138">
        <v>0.0021</v>
      </c>
      <c r="R176" s="138">
        <f>Q176*H176</f>
        <v>0.2264136</v>
      </c>
      <c r="S176" s="138">
        <v>0</v>
      </c>
      <c r="T176" s="139">
        <f>S176*H176</f>
        <v>0</v>
      </c>
      <c r="AR176" s="140" t="s">
        <v>185</v>
      </c>
      <c r="AT176" s="140" t="s">
        <v>180</v>
      </c>
      <c r="AU176" s="140" t="s">
        <v>87</v>
      </c>
      <c r="AY176" s="18" t="s">
        <v>177</v>
      </c>
      <c r="BE176" s="141">
        <f>IF(N176="základní",J176,0)</f>
        <v>0</v>
      </c>
      <c r="BF176" s="141">
        <f>IF(N176="snížená",J176,0)</f>
        <v>0</v>
      </c>
      <c r="BG176" s="141">
        <f>IF(N176="zákl. přenesená",J176,0)</f>
        <v>0</v>
      </c>
      <c r="BH176" s="141">
        <f>IF(N176="sníž. přenesená",J176,0)</f>
        <v>0</v>
      </c>
      <c r="BI176" s="141">
        <f>IF(N176="nulová",J176,0)</f>
        <v>0</v>
      </c>
      <c r="BJ176" s="18" t="s">
        <v>85</v>
      </c>
      <c r="BK176" s="141">
        <f>ROUND(I176*H176,2)</f>
        <v>0</v>
      </c>
      <c r="BL176" s="18" t="s">
        <v>185</v>
      </c>
      <c r="BM176" s="140" t="s">
        <v>1540</v>
      </c>
    </row>
    <row r="177" spans="2:47" s="1" customFormat="1" ht="19.5">
      <c r="B177" s="33"/>
      <c r="D177" s="142" t="s">
        <v>187</v>
      </c>
      <c r="F177" s="143" t="s">
        <v>465</v>
      </c>
      <c r="I177" s="144"/>
      <c r="L177" s="33"/>
      <c r="M177" s="145"/>
      <c r="T177" s="54"/>
      <c r="AT177" s="18" t="s">
        <v>187</v>
      </c>
      <c r="AU177" s="18" t="s">
        <v>87</v>
      </c>
    </row>
    <row r="178" spans="2:47" s="1" customFormat="1" ht="11.25">
      <c r="B178" s="33"/>
      <c r="D178" s="146" t="s">
        <v>189</v>
      </c>
      <c r="F178" s="147" t="s">
        <v>466</v>
      </c>
      <c r="I178" s="144"/>
      <c r="L178" s="33"/>
      <c r="M178" s="145"/>
      <c r="T178" s="54"/>
      <c r="AT178" s="18" t="s">
        <v>189</v>
      </c>
      <c r="AU178" s="18" t="s">
        <v>87</v>
      </c>
    </row>
    <row r="179" spans="2:51" s="12" customFormat="1" ht="11.25">
      <c r="B179" s="149"/>
      <c r="D179" s="142" t="s">
        <v>193</v>
      </c>
      <c r="E179" s="150" t="s">
        <v>3</v>
      </c>
      <c r="F179" s="151" t="s">
        <v>1541</v>
      </c>
      <c r="H179" s="152">
        <v>107.816</v>
      </c>
      <c r="I179" s="153"/>
      <c r="L179" s="149"/>
      <c r="M179" s="154"/>
      <c r="T179" s="155"/>
      <c r="AT179" s="150" t="s">
        <v>193</v>
      </c>
      <c r="AU179" s="150" t="s">
        <v>87</v>
      </c>
      <c r="AV179" s="12" t="s">
        <v>87</v>
      </c>
      <c r="AW179" s="12" t="s">
        <v>36</v>
      </c>
      <c r="AX179" s="12" t="s">
        <v>85</v>
      </c>
      <c r="AY179" s="150" t="s">
        <v>177</v>
      </c>
    </row>
    <row r="180" spans="2:65" s="1" customFormat="1" ht="24.2" customHeight="1">
      <c r="B180" s="128"/>
      <c r="C180" s="129" t="s">
        <v>461</v>
      </c>
      <c r="D180" s="129" t="s">
        <v>180</v>
      </c>
      <c r="E180" s="130" t="s">
        <v>474</v>
      </c>
      <c r="F180" s="131" t="s">
        <v>475</v>
      </c>
      <c r="G180" s="132" t="s">
        <v>476</v>
      </c>
      <c r="H180" s="133">
        <v>77.011</v>
      </c>
      <c r="I180" s="134"/>
      <c r="J180" s="135">
        <f>ROUND(I180*H180,2)</f>
        <v>0</v>
      </c>
      <c r="K180" s="131" t="s">
        <v>184</v>
      </c>
      <c r="L180" s="33"/>
      <c r="M180" s="136" t="s">
        <v>3</v>
      </c>
      <c r="N180" s="137" t="s">
        <v>48</v>
      </c>
      <c r="P180" s="138">
        <f>O180*H180</f>
        <v>0</v>
      </c>
      <c r="Q180" s="138">
        <v>0.0004314</v>
      </c>
      <c r="R180" s="138">
        <f>Q180*H180</f>
        <v>0.0332225454</v>
      </c>
      <c r="S180" s="138">
        <v>0</v>
      </c>
      <c r="T180" s="139">
        <f>S180*H180</f>
        <v>0</v>
      </c>
      <c r="AR180" s="140" t="s">
        <v>185</v>
      </c>
      <c r="AT180" s="140" t="s">
        <v>180</v>
      </c>
      <c r="AU180" s="140" t="s">
        <v>87</v>
      </c>
      <c r="AY180" s="18" t="s">
        <v>177</v>
      </c>
      <c r="BE180" s="141">
        <f>IF(N180="základní",J180,0)</f>
        <v>0</v>
      </c>
      <c r="BF180" s="141">
        <f>IF(N180="snížená",J180,0)</f>
        <v>0</v>
      </c>
      <c r="BG180" s="141">
        <f>IF(N180="zákl. přenesená",J180,0)</f>
        <v>0</v>
      </c>
      <c r="BH180" s="141">
        <f>IF(N180="sníž. přenesená",J180,0)</f>
        <v>0</v>
      </c>
      <c r="BI180" s="141">
        <f>IF(N180="nulová",J180,0)</f>
        <v>0</v>
      </c>
      <c r="BJ180" s="18" t="s">
        <v>85</v>
      </c>
      <c r="BK180" s="141">
        <f>ROUND(I180*H180,2)</f>
        <v>0</v>
      </c>
      <c r="BL180" s="18" t="s">
        <v>185</v>
      </c>
      <c r="BM180" s="140" t="s">
        <v>1542</v>
      </c>
    </row>
    <row r="181" spans="2:47" s="1" customFormat="1" ht="19.5">
      <c r="B181" s="33"/>
      <c r="D181" s="142" t="s">
        <v>187</v>
      </c>
      <c r="F181" s="143" t="s">
        <v>478</v>
      </c>
      <c r="I181" s="144"/>
      <c r="L181" s="33"/>
      <c r="M181" s="145"/>
      <c r="T181" s="54"/>
      <c r="AT181" s="18" t="s">
        <v>187</v>
      </c>
      <c r="AU181" s="18" t="s">
        <v>87</v>
      </c>
    </row>
    <row r="182" spans="2:47" s="1" customFormat="1" ht="11.25">
      <c r="B182" s="33"/>
      <c r="D182" s="146" t="s">
        <v>189</v>
      </c>
      <c r="F182" s="147" t="s">
        <v>479</v>
      </c>
      <c r="I182" s="144"/>
      <c r="L182" s="33"/>
      <c r="M182" s="145"/>
      <c r="T182" s="54"/>
      <c r="AT182" s="18" t="s">
        <v>189</v>
      </c>
      <c r="AU182" s="18" t="s">
        <v>87</v>
      </c>
    </row>
    <row r="183" spans="2:47" s="1" customFormat="1" ht="107.25">
      <c r="B183" s="33"/>
      <c r="D183" s="142" t="s">
        <v>191</v>
      </c>
      <c r="F183" s="148" t="s">
        <v>480</v>
      </c>
      <c r="I183" s="144"/>
      <c r="L183" s="33"/>
      <c r="M183" s="145"/>
      <c r="T183" s="54"/>
      <c r="AT183" s="18" t="s">
        <v>191</v>
      </c>
      <c r="AU183" s="18" t="s">
        <v>87</v>
      </c>
    </row>
    <row r="184" spans="2:51" s="13" customFormat="1" ht="11.25">
      <c r="B184" s="156"/>
      <c r="D184" s="142" t="s">
        <v>193</v>
      </c>
      <c r="E184" s="157" t="s">
        <v>3</v>
      </c>
      <c r="F184" s="158" t="s">
        <v>481</v>
      </c>
      <c r="H184" s="157" t="s">
        <v>3</v>
      </c>
      <c r="I184" s="159"/>
      <c r="L184" s="156"/>
      <c r="M184" s="160"/>
      <c r="T184" s="161"/>
      <c r="AT184" s="157" t="s">
        <v>193</v>
      </c>
      <c r="AU184" s="157" t="s">
        <v>87</v>
      </c>
      <c r="AV184" s="13" t="s">
        <v>85</v>
      </c>
      <c r="AW184" s="13" t="s">
        <v>36</v>
      </c>
      <c r="AX184" s="13" t="s">
        <v>77</v>
      </c>
      <c r="AY184" s="157" t="s">
        <v>177</v>
      </c>
    </row>
    <row r="185" spans="2:51" s="12" customFormat="1" ht="11.25">
      <c r="B185" s="149"/>
      <c r="D185" s="142" t="s">
        <v>193</v>
      </c>
      <c r="E185" s="150" t="s">
        <v>3</v>
      </c>
      <c r="F185" s="151" t="s">
        <v>1543</v>
      </c>
      <c r="H185" s="152">
        <v>77.011</v>
      </c>
      <c r="I185" s="153"/>
      <c r="L185" s="149"/>
      <c r="M185" s="154"/>
      <c r="T185" s="155"/>
      <c r="AT185" s="150" t="s">
        <v>193</v>
      </c>
      <c r="AU185" s="150" t="s">
        <v>87</v>
      </c>
      <c r="AV185" s="12" t="s">
        <v>87</v>
      </c>
      <c r="AW185" s="12" t="s">
        <v>36</v>
      </c>
      <c r="AX185" s="12" t="s">
        <v>85</v>
      </c>
      <c r="AY185" s="150" t="s">
        <v>177</v>
      </c>
    </row>
    <row r="186" spans="2:65" s="1" customFormat="1" ht="24.2" customHeight="1">
      <c r="B186" s="128"/>
      <c r="C186" s="179" t="s">
        <v>467</v>
      </c>
      <c r="D186" s="179" t="s">
        <v>484</v>
      </c>
      <c r="E186" s="180" t="s">
        <v>485</v>
      </c>
      <c r="F186" s="181" t="s">
        <v>486</v>
      </c>
      <c r="G186" s="182" t="s">
        <v>183</v>
      </c>
      <c r="H186" s="183">
        <v>0.075</v>
      </c>
      <c r="I186" s="184"/>
      <c r="J186" s="185">
        <f>ROUND(I186*H186,2)</f>
        <v>0</v>
      </c>
      <c r="K186" s="181" t="s">
        <v>184</v>
      </c>
      <c r="L186" s="186"/>
      <c r="M186" s="187" t="s">
        <v>3</v>
      </c>
      <c r="N186" s="188" t="s">
        <v>48</v>
      </c>
      <c r="P186" s="138">
        <f>O186*H186</f>
        <v>0</v>
      </c>
      <c r="Q186" s="138">
        <v>1</v>
      </c>
      <c r="R186" s="138">
        <f>Q186*H186</f>
        <v>0.075</v>
      </c>
      <c r="S186" s="138">
        <v>0</v>
      </c>
      <c r="T186" s="139">
        <f>S186*H186</f>
        <v>0</v>
      </c>
      <c r="AR186" s="140" t="s">
        <v>248</v>
      </c>
      <c r="AT186" s="140" t="s">
        <v>484</v>
      </c>
      <c r="AU186" s="140" t="s">
        <v>87</v>
      </c>
      <c r="AY186" s="18" t="s">
        <v>177</v>
      </c>
      <c r="BE186" s="141">
        <f>IF(N186="základní",J186,0)</f>
        <v>0</v>
      </c>
      <c r="BF186" s="141">
        <f>IF(N186="snížená",J186,0)</f>
        <v>0</v>
      </c>
      <c r="BG186" s="141">
        <f>IF(N186="zákl. přenesená",J186,0)</f>
        <v>0</v>
      </c>
      <c r="BH186" s="141">
        <f>IF(N186="sníž. přenesená",J186,0)</f>
        <v>0</v>
      </c>
      <c r="BI186" s="141">
        <f>IF(N186="nulová",J186,0)</f>
        <v>0</v>
      </c>
      <c r="BJ186" s="18" t="s">
        <v>85</v>
      </c>
      <c r="BK186" s="141">
        <f>ROUND(I186*H186,2)</f>
        <v>0</v>
      </c>
      <c r="BL186" s="18" t="s">
        <v>185</v>
      </c>
      <c r="BM186" s="140" t="s">
        <v>1544</v>
      </c>
    </row>
    <row r="187" spans="2:47" s="1" customFormat="1" ht="19.5">
      <c r="B187" s="33"/>
      <c r="D187" s="142" t="s">
        <v>187</v>
      </c>
      <c r="F187" s="143" t="s">
        <v>488</v>
      </c>
      <c r="I187" s="144"/>
      <c r="L187" s="33"/>
      <c r="M187" s="145"/>
      <c r="T187" s="54"/>
      <c r="AT187" s="18" t="s">
        <v>187</v>
      </c>
      <c r="AU187" s="18" t="s">
        <v>87</v>
      </c>
    </row>
    <row r="188" spans="2:51" s="12" customFormat="1" ht="11.25">
      <c r="B188" s="149"/>
      <c r="D188" s="142" t="s">
        <v>193</v>
      </c>
      <c r="E188" s="150" t="s">
        <v>3</v>
      </c>
      <c r="F188" s="151" t="s">
        <v>1545</v>
      </c>
      <c r="H188" s="152">
        <v>0.075</v>
      </c>
      <c r="I188" s="153"/>
      <c r="L188" s="149"/>
      <c r="M188" s="154"/>
      <c r="T188" s="155"/>
      <c r="AT188" s="150" t="s">
        <v>193</v>
      </c>
      <c r="AU188" s="150" t="s">
        <v>87</v>
      </c>
      <c r="AV188" s="12" t="s">
        <v>87</v>
      </c>
      <c r="AW188" s="12" t="s">
        <v>36</v>
      </c>
      <c r="AX188" s="12" t="s">
        <v>85</v>
      </c>
      <c r="AY188" s="150" t="s">
        <v>177</v>
      </c>
    </row>
    <row r="189" spans="2:65" s="1" customFormat="1" ht="24.2" customHeight="1">
      <c r="B189" s="128"/>
      <c r="C189" s="129" t="s">
        <v>8</v>
      </c>
      <c r="D189" s="129" t="s">
        <v>180</v>
      </c>
      <c r="E189" s="130" t="s">
        <v>491</v>
      </c>
      <c r="F189" s="131" t="s">
        <v>492</v>
      </c>
      <c r="G189" s="132" t="s">
        <v>476</v>
      </c>
      <c r="H189" s="133">
        <v>77.011</v>
      </c>
      <c r="I189" s="134"/>
      <c r="J189" s="135">
        <f>ROUND(I189*H189,2)</f>
        <v>0</v>
      </c>
      <c r="K189" s="131" t="s">
        <v>184</v>
      </c>
      <c r="L189" s="33"/>
      <c r="M189" s="136" t="s">
        <v>3</v>
      </c>
      <c r="N189" s="137" t="s">
        <v>48</v>
      </c>
      <c r="P189" s="138">
        <f>O189*H189</f>
        <v>0</v>
      </c>
      <c r="Q189" s="138">
        <v>0.00100641</v>
      </c>
      <c r="R189" s="138">
        <f>Q189*H189</f>
        <v>0.07750464050999999</v>
      </c>
      <c r="S189" s="138">
        <v>0.001</v>
      </c>
      <c r="T189" s="139">
        <f>S189*H189</f>
        <v>0.077011</v>
      </c>
      <c r="AR189" s="140" t="s">
        <v>185</v>
      </c>
      <c r="AT189" s="140" t="s">
        <v>180</v>
      </c>
      <c r="AU189" s="140" t="s">
        <v>87</v>
      </c>
      <c r="AY189" s="18" t="s">
        <v>177</v>
      </c>
      <c r="BE189" s="141">
        <f>IF(N189="základní",J189,0)</f>
        <v>0</v>
      </c>
      <c r="BF189" s="141">
        <f>IF(N189="snížená",J189,0)</f>
        <v>0</v>
      </c>
      <c r="BG189" s="141">
        <f>IF(N189="zákl. přenesená",J189,0)</f>
        <v>0</v>
      </c>
      <c r="BH189" s="141">
        <f>IF(N189="sníž. přenesená",J189,0)</f>
        <v>0</v>
      </c>
      <c r="BI189" s="141">
        <f>IF(N189="nulová",J189,0)</f>
        <v>0</v>
      </c>
      <c r="BJ189" s="18" t="s">
        <v>85</v>
      </c>
      <c r="BK189" s="141">
        <f>ROUND(I189*H189,2)</f>
        <v>0</v>
      </c>
      <c r="BL189" s="18" t="s">
        <v>185</v>
      </c>
      <c r="BM189" s="140" t="s">
        <v>1546</v>
      </c>
    </row>
    <row r="190" spans="2:47" s="1" customFormat="1" ht="19.5">
      <c r="B190" s="33"/>
      <c r="D190" s="142" t="s">
        <v>187</v>
      </c>
      <c r="F190" s="143" t="s">
        <v>494</v>
      </c>
      <c r="I190" s="144"/>
      <c r="L190" s="33"/>
      <c r="M190" s="145"/>
      <c r="T190" s="54"/>
      <c r="AT190" s="18" t="s">
        <v>187</v>
      </c>
      <c r="AU190" s="18" t="s">
        <v>87</v>
      </c>
    </row>
    <row r="191" spans="2:47" s="1" customFormat="1" ht="11.25">
      <c r="B191" s="33"/>
      <c r="D191" s="146" t="s">
        <v>189</v>
      </c>
      <c r="F191" s="147" t="s">
        <v>495</v>
      </c>
      <c r="I191" s="144"/>
      <c r="L191" s="33"/>
      <c r="M191" s="145"/>
      <c r="T191" s="54"/>
      <c r="AT191" s="18" t="s">
        <v>189</v>
      </c>
      <c r="AU191" s="18" t="s">
        <v>87</v>
      </c>
    </row>
    <row r="192" spans="2:47" s="1" customFormat="1" ht="107.25">
      <c r="B192" s="33"/>
      <c r="D192" s="142" t="s">
        <v>191</v>
      </c>
      <c r="F192" s="148" t="s">
        <v>480</v>
      </c>
      <c r="I192" s="144"/>
      <c r="L192" s="33"/>
      <c r="M192" s="145"/>
      <c r="T192" s="54"/>
      <c r="AT192" s="18" t="s">
        <v>191</v>
      </c>
      <c r="AU192" s="18" t="s">
        <v>87</v>
      </c>
    </row>
    <row r="193" spans="2:51" s="13" customFormat="1" ht="11.25">
      <c r="B193" s="156"/>
      <c r="D193" s="142" t="s">
        <v>193</v>
      </c>
      <c r="E193" s="157" t="s">
        <v>3</v>
      </c>
      <c r="F193" s="158" t="s">
        <v>481</v>
      </c>
      <c r="H193" s="157" t="s">
        <v>3</v>
      </c>
      <c r="I193" s="159"/>
      <c r="L193" s="156"/>
      <c r="M193" s="160"/>
      <c r="T193" s="161"/>
      <c r="AT193" s="157" t="s">
        <v>193</v>
      </c>
      <c r="AU193" s="157" t="s">
        <v>87</v>
      </c>
      <c r="AV193" s="13" t="s">
        <v>85</v>
      </c>
      <c r="AW193" s="13" t="s">
        <v>36</v>
      </c>
      <c r="AX193" s="13" t="s">
        <v>77</v>
      </c>
      <c r="AY193" s="157" t="s">
        <v>177</v>
      </c>
    </row>
    <row r="194" spans="2:51" s="12" customFormat="1" ht="11.25">
      <c r="B194" s="149"/>
      <c r="D194" s="142" t="s">
        <v>193</v>
      </c>
      <c r="E194" s="150" t="s">
        <v>3</v>
      </c>
      <c r="F194" s="151" t="s">
        <v>1543</v>
      </c>
      <c r="H194" s="152">
        <v>77.011</v>
      </c>
      <c r="I194" s="153"/>
      <c r="L194" s="149"/>
      <c r="M194" s="154"/>
      <c r="T194" s="155"/>
      <c r="AT194" s="150" t="s">
        <v>193</v>
      </c>
      <c r="AU194" s="150" t="s">
        <v>87</v>
      </c>
      <c r="AV194" s="12" t="s">
        <v>87</v>
      </c>
      <c r="AW194" s="12" t="s">
        <v>36</v>
      </c>
      <c r="AX194" s="12" t="s">
        <v>85</v>
      </c>
      <c r="AY194" s="150" t="s">
        <v>177</v>
      </c>
    </row>
    <row r="195" spans="2:65" s="1" customFormat="1" ht="24.2" customHeight="1">
      <c r="B195" s="128"/>
      <c r="C195" s="179" t="s">
        <v>483</v>
      </c>
      <c r="D195" s="179" t="s">
        <v>484</v>
      </c>
      <c r="E195" s="180" t="s">
        <v>497</v>
      </c>
      <c r="F195" s="181" t="s">
        <v>498</v>
      </c>
      <c r="G195" s="182" t="s">
        <v>183</v>
      </c>
      <c r="H195" s="183">
        <v>0.208</v>
      </c>
      <c r="I195" s="184"/>
      <c r="J195" s="185">
        <f>ROUND(I195*H195,2)</f>
        <v>0</v>
      </c>
      <c r="K195" s="181" t="s">
        <v>184</v>
      </c>
      <c r="L195" s="186"/>
      <c r="M195" s="187" t="s">
        <v>3</v>
      </c>
      <c r="N195" s="188" t="s">
        <v>48</v>
      </c>
      <c r="P195" s="138">
        <f>O195*H195</f>
        <v>0</v>
      </c>
      <c r="Q195" s="138">
        <v>1</v>
      </c>
      <c r="R195" s="138">
        <f>Q195*H195</f>
        <v>0.208</v>
      </c>
      <c r="S195" s="138">
        <v>0</v>
      </c>
      <c r="T195" s="139">
        <f>S195*H195</f>
        <v>0</v>
      </c>
      <c r="AR195" s="140" t="s">
        <v>248</v>
      </c>
      <c r="AT195" s="140" t="s">
        <v>484</v>
      </c>
      <c r="AU195" s="140" t="s">
        <v>87</v>
      </c>
      <c r="AY195" s="18" t="s">
        <v>177</v>
      </c>
      <c r="BE195" s="141">
        <f>IF(N195="základní",J195,0)</f>
        <v>0</v>
      </c>
      <c r="BF195" s="141">
        <f>IF(N195="snížená",J195,0)</f>
        <v>0</v>
      </c>
      <c r="BG195" s="141">
        <f>IF(N195="zákl. přenesená",J195,0)</f>
        <v>0</v>
      </c>
      <c r="BH195" s="141">
        <f>IF(N195="sníž. přenesená",J195,0)</f>
        <v>0</v>
      </c>
      <c r="BI195" s="141">
        <f>IF(N195="nulová",J195,0)</f>
        <v>0</v>
      </c>
      <c r="BJ195" s="18" t="s">
        <v>85</v>
      </c>
      <c r="BK195" s="141">
        <f>ROUND(I195*H195,2)</f>
        <v>0</v>
      </c>
      <c r="BL195" s="18" t="s">
        <v>185</v>
      </c>
      <c r="BM195" s="140" t="s">
        <v>1547</v>
      </c>
    </row>
    <row r="196" spans="2:47" s="1" customFormat="1" ht="19.5">
      <c r="B196" s="33"/>
      <c r="D196" s="142" t="s">
        <v>187</v>
      </c>
      <c r="F196" s="143" t="s">
        <v>500</v>
      </c>
      <c r="I196" s="144"/>
      <c r="L196" s="33"/>
      <c r="M196" s="145"/>
      <c r="T196" s="54"/>
      <c r="AT196" s="18" t="s">
        <v>187</v>
      </c>
      <c r="AU196" s="18" t="s">
        <v>87</v>
      </c>
    </row>
    <row r="197" spans="2:51" s="12" customFormat="1" ht="11.25">
      <c r="B197" s="149"/>
      <c r="D197" s="142" t="s">
        <v>193</v>
      </c>
      <c r="E197" s="150" t="s">
        <v>3</v>
      </c>
      <c r="F197" s="151" t="s">
        <v>1548</v>
      </c>
      <c r="H197" s="152">
        <v>0.208</v>
      </c>
      <c r="I197" s="153"/>
      <c r="L197" s="149"/>
      <c r="M197" s="154"/>
      <c r="T197" s="155"/>
      <c r="AT197" s="150" t="s">
        <v>193</v>
      </c>
      <c r="AU197" s="150" t="s">
        <v>87</v>
      </c>
      <c r="AV197" s="12" t="s">
        <v>87</v>
      </c>
      <c r="AW197" s="12" t="s">
        <v>36</v>
      </c>
      <c r="AX197" s="12" t="s">
        <v>85</v>
      </c>
      <c r="AY197" s="150" t="s">
        <v>177</v>
      </c>
    </row>
    <row r="198" spans="2:63" s="11" customFormat="1" ht="22.9" customHeight="1">
      <c r="B198" s="116"/>
      <c r="D198" s="117" t="s">
        <v>76</v>
      </c>
      <c r="E198" s="126" t="s">
        <v>178</v>
      </c>
      <c r="F198" s="126" t="s">
        <v>179</v>
      </c>
      <c r="I198" s="119"/>
      <c r="J198" s="127">
        <f>BK198</f>
        <v>0</v>
      </c>
      <c r="L198" s="116"/>
      <c r="M198" s="121"/>
      <c r="P198" s="122">
        <f>SUM(P199:P220)</f>
        <v>0</v>
      </c>
      <c r="R198" s="122">
        <f>SUM(R199:R220)</f>
        <v>0</v>
      </c>
      <c r="T198" s="123">
        <f>SUM(T199:T220)</f>
        <v>0</v>
      </c>
      <c r="AR198" s="117" t="s">
        <v>85</v>
      </c>
      <c r="AT198" s="124" t="s">
        <v>76</v>
      </c>
      <c r="AU198" s="124" t="s">
        <v>85</v>
      </c>
      <c r="AY198" s="117" t="s">
        <v>177</v>
      </c>
      <c r="BK198" s="125">
        <f>SUM(BK199:BK220)</f>
        <v>0</v>
      </c>
    </row>
    <row r="199" spans="2:65" s="1" customFormat="1" ht="24.2" customHeight="1">
      <c r="B199" s="128"/>
      <c r="C199" s="129" t="s">
        <v>490</v>
      </c>
      <c r="D199" s="129" t="s">
        <v>180</v>
      </c>
      <c r="E199" s="130" t="s">
        <v>181</v>
      </c>
      <c r="F199" s="131" t="s">
        <v>182</v>
      </c>
      <c r="G199" s="132" t="s">
        <v>183</v>
      </c>
      <c r="H199" s="133">
        <v>277.63</v>
      </c>
      <c r="I199" s="134"/>
      <c r="J199" s="135">
        <f>ROUND(I199*H199,2)</f>
        <v>0</v>
      </c>
      <c r="K199" s="131" t="s">
        <v>184</v>
      </c>
      <c r="L199" s="33"/>
      <c r="M199" s="136" t="s">
        <v>3</v>
      </c>
      <c r="N199" s="137" t="s">
        <v>48</v>
      </c>
      <c r="P199" s="138">
        <f>O199*H199</f>
        <v>0</v>
      </c>
      <c r="Q199" s="138">
        <v>0</v>
      </c>
      <c r="R199" s="138">
        <f>Q199*H199</f>
        <v>0</v>
      </c>
      <c r="S199" s="138">
        <v>0</v>
      </c>
      <c r="T199" s="139">
        <f>S199*H199</f>
        <v>0</v>
      </c>
      <c r="AR199" s="140" t="s">
        <v>185</v>
      </c>
      <c r="AT199" s="140" t="s">
        <v>180</v>
      </c>
      <c r="AU199" s="140" t="s">
        <v>87</v>
      </c>
      <c r="AY199" s="18" t="s">
        <v>177</v>
      </c>
      <c r="BE199" s="141">
        <f>IF(N199="základní",J199,0)</f>
        <v>0</v>
      </c>
      <c r="BF199" s="141">
        <f>IF(N199="snížená",J199,0)</f>
        <v>0</v>
      </c>
      <c r="BG199" s="141">
        <f>IF(N199="zákl. přenesená",J199,0)</f>
        <v>0</v>
      </c>
      <c r="BH199" s="141">
        <f>IF(N199="sníž. přenesená",J199,0)</f>
        <v>0</v>
      </c>
      <c r="BI199" s="141">
        <f>IF(N199="nulová",J199,0)</f>
        <v>0</v>
      </c>
      <c r="BJ199" s="18" t="s">
        <v>85</v>
      </c>
      <c r="BK199" s="141">
        <f>ROUND(I199*H199,2)</f>
        <v>0</v>
      </c>
      <c r="BL199" s="18" t="s">
        <v>185</v>
      </c>
      <c r="BM199" s="140" t="s">
        <v>1549</v>
      </c>
    </row>
    <row r="200" spans="2:47" s="1" customFormat="1" ht="19.5">
      <c r="B200" s="33"/>
      <c r="D200" s="142" t="s">
        <v>187</v>
      </c>
      <c r="F200" s="143" t="s">
        <v>188</v>
      </c>
      <c r="I200" s="144"/>
      <c r="L200" s="33"/>
      <c r="M200" s="145"/>
      <c r="T200" s="54"/>
      <c r="AT200" s="18" t="s">
        <v>187</v>
      </c>
      <c r="AU200" s="18" t="s">
        <v>87</v>
      </c>
    </row>
    <row r="201" spans="2:47" s="1" customFormat="1" ht="11.25">
      <c r="B201" s="33"/>
      <c r="D201" s="146" t="s">
        <v>189</v>
      </c>
      <c r="F201" s="147" t="s">
        <v>190</v>
      </c>
      <c r="I201" s="144"/>
      <c r="L201" s="33"/>
      <c r="M201" s="145"/>
      <c r="T201" s="54"/>
      <c r="AT201" s="18" t="s">
        <v>189</v>
      </c>
      <c r="AU201" s="18" t="s">
        <v>87</v>
      </c>
    </row>
    <row r="202" spans="2:47" s="1" customFormat="1" ht="146.25">
      <c r="B202" s="33"/>
      <c r="D202" s="142" t="s">
        <v>191</v>
      </c>
      <c r="F202" s="148" t="s">
        <v>192</v>
      </c>
      <c r="I202" s="144"/>
      <c r="L202" s="33"/>
      <c r="M202" s="145"/>
      <c r="T202" s="54"/>
      <c r="AT202" s="18" t="s">
        <v>191</v>
      </c>
      <c r="AU202" s="18" t="s">
        <v>87</v>
      </c>
    </row>
    <row r="203" spans="2:65" s="1" customFormat="1" ht="33" customHeight="1">
      <c r="B203" s="128"/>
      <c r="C203" s="129" t="s">
        <v>496</v>
      </c>
      <c r="D203" s="129" t="s">
        <v>180</v>
      </c>
      <c r="E203" s="130" t="s">
        <v>202</v>
      </c>
      <c r="F203" s="131" t="s">
        <v>203</v>
      </c>
      <c r="G203" s="132" t="s">
        <v>183</v>
      </c>
      <c r="H203" s="133">
        <v>555.26</v>
      </c>
      <c r="I203" s="134"/>
      <c r="J203" s="135">
        <f>ROUND(I203*H203,2)</f>
        <v>0</v>
      </c>
      <c r="K203" s="131" t="s">
        <v>184</v>
      </c>
      <c r="L203" s="33"/>
      <c r="M203" s="136" t="s">
        <v>3</v>
      </c>
      <c r="N203" s="137" t="s">
        <v>48</v>
      </c>
      <c r="P203" s="138">
        <f>O203*H203</f>
        <v>0</v>
      </c>
      <c r="Q203" s="138">
        <v>0</v>
      </c>
      <c r="R203" s="138">
        <f>Q203*H203</f>
        <v>0</v>
      </c>
      <c r="S203" s="138">
        <v>0</v>
      </c>
      <c r="T203" s="139">
        <f>S203*H203</f>
        <v>0</v>
      </c>
      <c r="AR203" s="140" t="s">
        <v>185</v>
      </c>
      <c r="AT203" s="140" t="s">
        <v>180</v>
      </c>
      <c r="AU203" s="140" t="s">
        <v>87</v>
      </c>
      <c r="AY203" s="18" t="s">
        <v>177</v>
      </c>
      <c r="BE203" s="141">
        <f>IF(N203="základní",J203,0)</f>
        <v>0</v>
      </c>
      <c r="BF203" s="141">
        <f>IF(N203="snížená",J203,0)</f>
        <v>0</v>
      </c>
      <c r="BG203" s="141">
        <f>IF(N203="zákl. přenesená",J203,0)</f>
        <v>0</v>
      </c>
      <c r="BH203" s="141">
        <f>IF(N203="sníž. přenesená",J203,0)</f>
        <v>0</v>
      </c>
      <c r="BI203" s="141">
        <f>IF(N203="nulová",J203,0)</f>
        <v>0</v>
      </c>
      <c r="BJ203" s="18" t="s">
        <v>85</v>
      </c>
      <c r="BK203" s="141">
        <f>ROUND(I203*H203,2)</f>
        <v>0</v>
      </c>
      <c r="BL203" s="18" t="s">
        <v>185</v>
      </c>
      <c r="BM203" s="140" t="s">
        <v>1550</v>
      </c>
    </row>
    <row r="204" spans="2:47" s="1" customFormat="1" ht="39">
      <c r="B204" s="33"/>
      <c r="D204" s="142" t="s">
        <v>187</v>
      </c>
      <c r="F204" s="143" t="s">
        <v>205</v>
      </c>
      <c r="I204" s="144"/>
      <c r="L204" s="33"/>
      <c r="M204" s="145"/>
      <c r="T204" s="54"/>
      <c r="AT204" s="18" t="s">
        <v>187</v>
      </c>
      <c r="AU204" s="18" t="s">
        <v>87</v>
      </c>
    </row>
    <row r="205" spans="2:47" s="1" customFormat="1" ht="11.25">
      <c r="B205" s="33"/>
      <c r="D205" s="146" t="s">
        <v>189</v>
      </c>
      <c r="F205" s="147" t="s">
        <v>206</v>
      </c>
      <c r="I205" s="144"/>
      <c r="L205" s="33"/>
      <c r="M205" s="145"/>
      <c r="T205" s="54"/>
      <c r="AT205" s="18" t="s">
        <v>189</v>
      </c>
      <c r="AU205" s="18" t="s">
        <v>87</v>
      </c>
    </row>
    <row r="206" spans="2:47" s="1" customFormat="1" ht="146.25">
      <c r="B206" s="33"/>
      <c r="D206" s="142" t="s">
        <v>191</v>
      </c>
      <c r="F206" s="148" t="s">
        <v>192</v>
      </c>
      <c r="I206" s="144"/>
      <c r="L206" s="33"/>
      <c r="M206" s="145"/>
      <c r="T206" s="54"/>
      <c r="AT206" s="18" t="s">
        <v>191</v>
      </c>
      <c r="AU206" s="18" t="s">
        <v>87</v>
      </c>
    </row>
    <row r="207" spans="2:51" s="12" customFormat="1" ht="11.25">
      <c r="B207" s="149"/>
      <c r="D207" s="142" t="s">
        <v>193</v>
      </c>
      <c r="F207" s="151" t="s">
        <v>1551</v>
      </c>
      <c r="H207" s="152">
        <v>555.26</v>
      </c>
      <c r="I207" s="153"/>
      <c r="L207" s="149"/>
      <c r="M207" s="154"/>
      <c r="T207" s="155"/>
      <c r="AT207" s="150" t="s">
        <v>193</v>
      </c>
      <c r="AU207" s="150" t="s">
        <v>87</v>
      </c>
      <c r="AV207" s="12" t="s">
        <v>87</v>
      </c>
      <c r="AW207" s="12" t="s">
        <v>4</v>
      </c>
      <c r="AX207" s="12" t="s">
        <v>85</v>
      </c>
      <c r="AY207" s="150" t="s">
        <v>177</v>
      </c>
    </row>
    <row r="208" spans="2:65" s="1" customFormat="1" ht="24.2" customHeight="1">
      <c r="B208" s="128"/>
      <c r="C208" s="129" t="s">
        <v>502</v>
      </c>
      <c r="D208" s="129" t="s">
        <v>180</v>
      </c>
      <c r="E208" s="130" t="s">
        <v>208</v>
      </c>
      <c r="F208" s="131" t="s">
        <v>209</v>
      </c>
      <c r="G208" s="132" t="s">
        <v>183</v>
      </c>
      <c r="H208" s="133">
        <v>277.63</v>
      </c>
      <c r="I208" s="134"/>
      <c r="J208" s="135">
        <f>ROUND(I208*H208,2)</f>
        <v>0</v>
      </c>
      <c r="K208" s="131" t="s">
        <v>184</v>
      </c>
      <c r="L208" s="33"/>
      <c r="M208" s="136" t="s">
        <v>3</v>
      </c>
      <c r="N208" s="137" t="s">
        <v>48</v>
      </c>
      <c r="P208" s="138">
        <f>O208*H208</f>
        <v>0</v>
      </c>
      <c r="Q208" s="138">
        <v>0</v>
      </c>
      <c r="R208" s="138">
        <f>Q208*H208</f>
        <v>0</v>
      </c>
      <c r="S208" s="138">
        <v>0</v>
      </c>
      <c r="T208" s="139">
        <f>S208*H208</f>
        <v>0</v>
      </c>
      <c r="AR208" s="140" t="s">
        <v>185</v>
      </c>
      <c r="AT208" s="140" t="s">
        <v>180</v>
      </c>
      <c r="AU208" s="140" t="s">
        <v>87</v>
      </c>
      <c r="AY208" s="18" t="s">
        <v>177</v>
      </c>
      <c r="BE208" s="141">
        <f>IF(N208="základní",J208,0)</f>
        <v>0</v>
      </c>
      <c r="BF208" s="141">
        <f>IF(N208="snížená",J208,0)</f>
        <v>0</v>
      </c>
      <c r="BG208" s="141">
        <f>IF(N208="zákl. přenesená",J208,0)</f>
        <v>0</v>
      </c>
      <c r="BH208" s="141">
        <f>IF(N208="sníž. přenesená",J208,0)</f>
        <v>0</v>
      </c>
      <c r="BI208" s="141">
        <f>IF(N208="nulová",J208,0)</f>
        <v>0</v>
      </c>
      <c r="BJ208" s="18" t="s">
        <v>85</v>
      </c>
      <c r="BK208" s="141">
        <f>ROUND(I208*H208,2)</f>
        <v>0</v>
      </c>
      <c r="BL208" s="18" t="s">
        <v>185</v>
      </c>
      <c r="BM208" s="140" t="s">
        <v>1552</v>
      </c>
    </row>
    <row r="209" spans="2:47" s="1" customFormat="1" ht="19.5">
      <c r="B209" s="33"/>
      <c r="D209" s="142" t="s">
        <v>187</v>
      </c>
      <c r="F209" s="143" t="s">
        <v>211</v>
      </c>
      <c r="I209" s="144"/>
      <c r="L209" s="33"/>
      <c r="M209" s="145"/>
      <c r="T209" s="54"/>
      <c r="AT209" s="18" t="s">
        <v>187</v>
      </c>
      <c r="AU209" s="18" t="s">
        <v>87</v>
      </c>
    </row>
    <row r="210" spans="2:47" s="1" customFormat="1" ht="11.25">
      <c r="B210" s="33"/>
      <c r="D210" s="146" t="s">
        <v>189</v>
      </c>
      <c r="F210" s="147" t="s">
        <v>212</v>
      </c>
      <c r="I210" s="144"/>
      <c r="L210" s="33"/>
      <c r="M210" s="145"/>
      <c r="T210" s="54"/>
      <c r="AT210" s="18" t="s">
        <v>189</v>
      </c>
      <c r="AU210" s="18" t="s">
        <v>87</v>
      </c>
    </row>
    <row r="211" spans="2:47" s="1" customFormat="1" ht="97.5">
      <c r="B211" s="33"/>
      <c r="D211" s="142" t="s">
        <v>191</v>
      </c>
      <c r="F211" s="148" t="s">
        <v>213</v>
      </c>
      <c r="I211" s="144"/>
      <c r="L211" s="33"/>
      <c r="M211" s="145"/>
      <c r="T211" s="54"/>
      <c r="AT211" s="18" t="s">
        <v>191</v>
      </c>
      <c r="AU211" s="18" t="s">
        <v>87</v>
      </c>
    </row>
    <row r="212" spans="2:65" s="1" customFormat="1" ht="24.2" customHeight="1">
      <c r="B212" s="128"/>
      <c r="C212" s="129" t="s">
        <v>504</v>
      </c>
      <c r="D212" s="129" t="s">
        <v>180</v>
      </c>
      <c r="E212" s="130" t="s">
        <v>214</v>
      </c>
      <c r="F212" s="131" t="s">
        <v>215</v>
      </c>
      <c r="G212" s="132" t="s">
        <v>183</v>
      </c>
      <c r="H212" s="133">
        <v>5274.97</v>
      </c>
      <c r="I212" s="134"/>
      <c r="J212" s="135">
        <f>ROUND(I212*H212,2)</f>
        <v>0</v>
      </c>
      <c r="K212" s="131" t="s">
        <v>184</v>
      </c>
      <c r="L212" s="33"/>
      <c r="M212" s="136" t="s">
        <v>3</v>
      </c>
      <c r="N212" s="137" t="s">
        <v>48</v>
      </c>
      <c r="P212" s="138">
        <f>O212*H212</f>
        <v>0</v>
      </c>
      <c r="Q212" s="138">
        <v>0</v>
      </c>
      <c r="R212" s="138">
        <f>Q212*H212</f>
        <v>0</v>
      </c>
      <c r="S212" s="138">
        <v>0</v>
      </c>
      <c r="T212" s="139">
        <f>S212*H212</f>
        <v>0</v>
      </c>
      <c r="AR212" s="140" t="s">
        <v>185</v>
      </c>
      <c r="AT212" s="140" t="s">
        <v>180</v>
      </c>
      <c r="AU212" s="140" t="s">
        <v>87</v>
      </c>
      <c r="AY212" s="18" t="s">
        <v>177</v>
      </c>
      <c r="BE212" s="141">
        <f>IF(N212="základní",J212,0)</f>
        <v>0</v>
      </c>
      <c r="BF212" s="141">
        <f>IF(N212="snížená",J212,0)</f>
        <v>0</v>
      </c>
      <c r="BG212" s="141">
        <f>IF(N212="zákl. přenesená",J212,0)</f>
        <v>0</v>
      </c>
      <c r="BH212" s="141">
        <f>IF(N212="sníž. přenesená",J212,0)</f>
        <v>0</v>
      </c>
      <c r="BI212" s="141">
        <f>IF(N212="nulová",J212,0)</f>
        <v>0</v>
      </c>
      <c r="BJ212" s="18" t="s">
        <v>85</v>
      </c>
      <c r="BK212" s="141">
        <f>ROUND(I212*H212,2)</f>
        <v>0</v>
      </c>
      <c r="BL212" s="18" t="s">
        <v>185</v>
      </c>
      <c r="BM212" s="140" t="s">
        <v>1553</v>
      </c>
    </row>
    <row r="213" spans="2:47" s="1" customFormat="1" ht="29.25">
      <c r="B213" s="33"/>
      <c r="D213" s="142" t="s">
        <v>187</v>
      </c>
      <c r="F213" s="143" t="s">
        <v>217</v>
      </c>
      <c r="I213" s="144"/>
      <c r="L213" s="33"/>
      <c r="M213" s="145"/>
      <c r="T213" s="54"/>
      <c r="AT213" s="18" t="s">
        <v>187</v>
      </c>
      <c r="AU213" s="18" t="s">
        <v>87</v>
      </c>
    </row>
    <row r="214" spans="2:47" s="1" customFormat="1" ht="11.25">
      <c r="B214" s="33"/>
      <c r="D214" s="146" t="s">
        <v>189</v>
      </c>
      <c r="F214" s="147" t="s">
        <v>218</v>
      </c>
      <c r="I214" s="144"/>
      <c r="L214" s="33"/>
      <c r="M214" s="145"/>
      <c r="T214" s="54"/>
      <c r="AT214" s="18" t="s">
        <v>189</v>
      </c>
      <c r="AU214" s="18" t="s">
        <v>87</v>
      </c>
    </row>
    <row r="215" spans="2:47" s="1" customFormat="1" ht="97.5">
      <c r="B215" s="33"/>
      <c r="D215" s="142" t="s">
        <v>191</v>
      </c>
      <c r="F215" s="148" t="s">
        <v>213</v>
      </c>
      <c r="I215" s="144"/>
      <c r="L215" s="33"/>
      <c r="M215" s="145"/>
      <c r="T215" s="54"/>
      <c r="AT215" s="18" t="s">
        <v>191</v>
      </c>
      <c r="AU215" s="18" t="s">
        <v>87</v>
      </c>
    </row>
    <row r="216" spans="2:51" s="12" customFormat="1" ht="11.25">
      <c r="B216" s="149"/>
      <c r="D216" s="142" t="s">
        <v>193</v>
      </c>
      <c r="F216" s="151" t="s">
        <v>1554</v>
      </c>
      <c r="H216" s="152">
        <v>5274.97</v>
      </c>
      <c r="I216" s="153"/>
      <c r="L216" s="149"/>
      <c r="M216" s="154"/>
      <c r="T216" s="155"/>
      <c r="AT216" s="150" t="s">
        <v>193</v>
      </c>
      <c r="AU216" s="150" t="s">
        <v>87</v>
      </c>
      <c r="AV216" s="12" t="s">
        <v>87</v>
      </c>
      <c r="AW216" s="12" t="s">
        <v>4</v>
      </c>
      <c r="AX216" s="12" t="s">
        <v>85</v>
      </c>
      <c r="AY216" s="150" t="s">
        <v>177</v>
      </c>
    </row>
    <row r="217" spans="2:65" s="1" customFormat="1" ht="44.25" customHeight="1">
      <c r="B217" s="128"/>
      <c r="C217" s="129" t="s">
        <v>507</v>
      </c>
      <c r="D217" s="129" t="s">
        <v>180</v>
      </c>
      <c r="E217" s="130" t="s">
        <v>223</v>
      </c>
      <c r="F217" s="131" t="s">
        <v>224</v>
      </c>
      <c r="G217" s="132" t="s">
        <v>183</v>
      </c>
      <c r="H217" s="133">
        <v>277.63</v>
      </c>
      <c r="I217" s="134"/>
      <c r="J217" s="135">
        <f>ROUND(I217*H217,2)</f>
        <v>0</v>
      </c>
      <c r="K217" s="131" t="s">
        <v>184</v>
      </c>
      <c r="L217" s="33"/>
      <c r="M217" s="136" t="s">
        <v>3</v>
      </c>
      <c r="N217" s="137" t="s">
        <v>48</v>
      </c>
      <c r="P217" s="138">
        <f>O217*H217</f>
        <v>0</v>
      </c>
      <c r="Q217" s="138">
        <v>0</v>
      </c>
      <c r="R217" s="138">
        <f>Q217*H217</f>
        <v>0</v>
      </c>
      <c r="S217" s="138">
        <v>0</v>
      </c>
      <c r="T217" s="139">
        <f>S217*H217</f>
        <v>0</v>
      </c>
      <c r="AR217" s="140" t="s">
        <v>185</v>
      </c>
      <c r="AT217" s="140" t="s">
        <v>180</v>
      </c>
      <c r="AU217" s="140" t="s">
        <v>87</v>
      </c>
      <c r="AY217" s="18" t="s">
        <v>177</v>
      </c>
      <c r="BE217" s="141">
        <f>IF(N217="základní",J217,0)</f>
        <v>0</v>
      </c>
      <c r="BF217" s="141">
        <f>IF(N217="snížená",J217,0)</f>
        <v>0</v>
      </c>
      <c r="BG217" s="141">
        <f>IF(N217="zákl. přenesená",J217,0)</f>
        <v>0</v>
      </c>
      <c r="BH217" s="141">
        <f>IF(N217="sníž. přenesená",J217,0)</f>
        <v>0</v>
      </c>
      <c r="BI217" s="141">
        <f>IF(N217="nulová",J217,0)</f>
        <v>0</v>
      </c>
      <c r="BJ217" s="18" t="s">
        <v>85</v>
      </c>
      <c r="BK217" s="141">
        <f>ROUND(I217*H217,2)</f>
        <v>0</v>
      </c>
      <c r="BL217" s="18" t="s">
        <v>185</v>
      </c>
      <c r="BM217" s="140" t="s">
        <v>1555</v>
      </c>
    </row>
    <row r="218" spans="2:47" s="1" customFormat="1" ht="29.25">
      <c r="B218" s="33"/>
      <c r="D218" s="142" t="s">
        <v>187</v>
      </c>
      <c r="F218" s="143" t="s">
        <v>226</v>
      </c>
      <c r="I218" s="144"/>
      <c r="L218" s="33"/>
      <c r="M218" s="145"/>
      <c r="T218" s="54"/>
      <c r="AT218" s="18" t="s">
        <v>187</v>
      </c>
      <c r="AU218" s="18" t="s">
        <v>87</v>
      </c>
    </row>
    <row r="219" spans="2:47" s="1" customFormat="1" ht="11.25">
      <c r="B219" s="33"/>
      <c r="D219" s="146" t="s">
        <v>189</v>
      </c>
      <c r="F219" s="147" t="s">
        <v>227</v>
      </c>
      <c r="I219" s="144"/>
      <c r="L219" s="33"/>
      <c r="M219" s="145"/>
      <c r="T219" s="54"/>
      <c r="AT219" s="18" t="s">
        <v>189</v>
      </c>
      <c r="AU219" s="18" t="s">
        <v>87</v>
      </c>
    </row>
    <row r="220" spans="2:47" s="1" customFormat="1" ht="58.5">
      <c r="B220" s="33"/>
      <c r="D220" s="142" t="s">
        <v>191</v>
      </c>
      <c r="F220" s="148" t="s">
        <v>228</v>
      </c>
      <c r="I220" s="144"/>
      <c r="L220" s="33"/>
      <c r="M220" s="145"/>
      <c r="T220" s="54"/>
      <c r="AT220" s="18" t="s">
        <v>191</v>
      </c>
      <c r="AU220" s="18" t="s">
        <v>87</v>
      </c>
    </row>
    <row r="221" spans="2:63" s="11" customFormat="1" ht="22.9" customHeight="1">
      <c r="B221" s="116"/>
      <c r="D221" s="117" t="s">
        <v>76</v>
      </c>
      <c r="E221" s="126" t="s">
        <v>518</v>
      </c>
      <c r="F221" s="126" t="s">
        <v>519</v>
      </c>
      <c r="I221" s="119"/>
      <c r="J221" s="127">
        <f>BK221</f>
        <v>0</v>
      </c>
      <c r="L221" s="116"/>
      <c r="M221" s="121"/>
      <c r="P221" s="122">
        <f>SUM(P222:P225)</f>
        <v>0</v>
      </c>
      <c r="R221" s="122">
        <f>SUM(R222:R225)</f>
        <v>0</v>
      </c>
      <c r="T221" s="123">
        <f>SUM(T222:T225)</f>
        <v>0</v>
      </c>
      <c r="AR221" s="117" t="s">
        <v>85</v>
      </c>
      <c r="AT221" s="124" t="s">
        <v>76</v>
      </c>
      <c r="AU221" s="124" t="s">
        <v>85</v>
      </c>
      <c r="AY221" s="117" t="s">
        <v>177</v>
      </c>
      <c r="BK221" s="125">
        <f>SUM(BK222:BK225)</f>
        <v>0</v>
      </c>
    </row>
    <row r="222" spans="2:65" s="1" customFormat="1" ht="21.75" customHeight="1">
      <c r="B222" s="128"/>
      <c r="C222" s="129" t="s">
        <v>509</v>
      </c>
      <c r="D222" s="129" t="s">
        <v>180</v>
      </c>
      <c r="E222" s="130" t="s">
        <v>521</v>
      </c>
      <c r="F222" s="131" t="s">
        <v>522</v>
      </c>
      <c r="G222" s="132" t="s">
        <v>183</v>
      </c>
      <c r="H222" s="133">
        <v>8.165</v>
      </c>
      <c r="I222" s="134"/>
      <c r="J222" s="135">
        <f>ROUND(I222*H222,2)</f>
        <v>0</v>
      </c>
      <c r="K222" s="131" t="s">
        <v>184</v>
      </c>
      <c r="L222" s="33"/>
      <c r="M222" s="136" t="s">
        <v>3</v>
      </c>
      <c r="N222" s="137" t="s">
        <v>48</v>
      </c>
      <c r="P222" s="138">
        <f>O222*H222</f>
        <v>0</v>
      </c>
      <c r="Q222" s="138">
        <v>0</v>
      </c>
      <c r="R222" s="138">
        <f>Q222*H222</f>
        <v>0</v>
      </c>
      <c r="S222" s="138">
        <v>0</v>
      </c>
      <c r="T222" s="139">
        <f>S222*H222</f>
        <v>0</v>
      </c>
      <c r="AR222" s="140" t="s">
        <v>185</v>
      </c>
      <c r="AT222" s="140" t="s">
        <v>180</v>
      </c>
      <c r="AU222" s="140" t="s">
        <v>87</v>
      </c>
      <c r="AY222" s="18" t="s">
        <v>177</v>
      </c>
      <c r="BE222" s="141">
        <f>IF(N222="základní",J222,0)</f>
        <v>0</v>
      </c>
      <c r="BF222" s="141">
        <f>IF(N222="snížená",J222,0)</f>
        <v>0</v>
      </c>
      <c r="BG222" s="141">
        <f>IF(N222="zákl. přenesená",J222,0)</f>
        <v>0</v>
      </c>
      <c r="BH222" s="141">
        <f>IF(N222="sníž. přenesená",J222,0)</f>
        <v>0</v>
      </c>
      <c r="BI222" s="141">
        <f>IF(N222="nulová",J222,0)</f>
        <v>0</v>
      </c>
      <c r="BJ222" s="18" t="s">
        <v>85</v>
      </c>
      <c r="BK222" s="141">
        <f>ROUND(I222*H222,2)</f>
        <v>0</v>
      </c>
      <c r="BL222" s="18" t="s">
        <v>185</v>
      </c>
      <c r="BM222" s="140" t="s">
        <v>1556</v>
      </c>
    </row>
    <row r="223" spans="2:47" s="1" customFormat="1" ht="39">
      <c r="B223" s="33"/>
      <c r="D223" s="142" t="s">
        <v>187</v>
      </c>
      <c r="F223" s="143" t="s">
        <v>524</v>
      </c>
      <c r="I223" s="144"/>
      <c r="L223" s="33"/>
      <c r="M223" s="145"/>
      <c r="T223" s="54"/>
      <c r="AT223" s="18" t="s">
        <v>187</v>
      </c>
      <c r="AU223" s="18" t="s">
        <v>87</v>
      </c>
    </row>
    <row r="224" spans="2:47" s="1" customFormat="1" ht="11.25">
      <c r="B224" s="33"/>
      <c r="D224" s="146" t="s">
        <v>189</v>
      </c>
      <c r="F224" s="147" t="s">
        <v>525</v>
      </c>
      <c r="I224" s="144"/>
      <c r="L224" s="33"/>
      <c r="M224" s="145"/>
      <c r="T224" s="54"/>
      <c r="AT224" s="18" t="s">
        <v>189</v>
      </c>
      <c r="AU224" s="18" t="s">
        <v>87</v>
      </c>
    </row>
    <row r="225" spans="2:47" s="1" customFormat="1" ht="87.75">
      <c r="B225" s="33"/>
      <c r="D225" s="142" t="s">
        <v>191</v>
      </c>
      <c r="F225" s="148" t="s">
        <v>526</v>
      </c>
      <c r="I225" s="144"/>
      <c r="L225" s="33"/>
      <c r="M225" s="145"/>
      <c r="T225" s="54"/>
      <c r="AT225" s="18" t="s">
        <v>191</v>
      </c>
      <c r="AU225" s="18" t="s">
        <v>87</v>
      </c>
    </row>
    <row r="226" spans="2:63" s="11" customFormat="1" ht="25.9" customHeight="1">
      <c r="B226" s="116"/>
      <c r="D226" s="117" t="s">
        <v>76</v>
      </c>
      <c r="E226" s="118" t="s">
        <v>229</v>
      </c>
      <c r="F226" s="118" t="s">
        <v>230</v>
      </c>
      <c r="I226" s="119"/>
      <c r="J226" s="120">
        <f>BK226</f>
        <v>0</v>
      </c>
      <c r="L226" s="116"/>
      <c r="M226" s="121"/>
      <c r="P226" s="122">
        <f>P227</f>
        <v>0</v>
      </c>
      <c r="R226" s="122">
        <f>R227</f>
        <v>0</v>
      </c>
      <c r="T226" s="123">
        <f>T227</f>
        <v>0.888</v>
      </c>
      <c r="AR226" s="117" t="s">
        <v>87</v>
      </c>
      <c r="AT226" s="124" t="s">
        <v>76</v>
      </c>
      <c r="AU226" s="124" t="s">
        <v>77</v>
      </c>
      <c r="AY226" s="117" t="s">
        <v>177</v>
      </c>
      <c r="BK226" s="125">
        <f>BK227</f>
        <v>0</v>
      </c>
    </row>
    <row r="227" spans="2:63" s="11" customFormat="1" ht="22.9" customHeight="1">
      <c r="B227" s="116"/>
      <c r="D227" s="117" t="s">
        <v>76</v>
      </c>
      <c r="E227" s="126" t="s">
        <v>1557</v>
      </c>
      <c r="F227" s="126" t="s">
        <v>1558</v>
      </c>
      <c r="I227" s="119"/>
      <c r="J227" s="127">
        <f>BK227</f>
        <v>0</v>
      </c>
      <c r="L227" s="116"/>
      <c r="M227" s="121"/>
      <c r="P227" s="122">
        <f>SUM(P228:P234)</f>
        <v>0</v>
      </c>
      <c r="R227" s="122">
        <f>SUM(R228:R234)</f>
        <v>0</v>
      </c>
      <c r="T227" s="123">
        <f>SUM(T228:T234)</f>
        <v>0.888</v>
      </c>
      <c r="AR227" s="117" t="s">
        <v>87</v>
      </c>
      <c r="AT227" s="124" t="s">
        <v>76</v>
      </c>
      <c r="AU227" s="124" t="s">
        <v>85</v>
      </c>
      <c r="AY227" s="117" t="s">
        <v>177</v>
      </c>
      <c r="BK227" s="125">
        <f>SUM(BK228:BK234)</f>
        <v>0</v>
      </c>
    </row>
    <row r="228" spans="2:65" s="1" customFormat="1" ht="24.2" customHeight="1">
      <c r="B228" s="128"/>
      <c r="C228" s="129" t="s">
        <v>512</v>
      </c>
      <c r="D228" s="129" t="s">
        <v>180</v>
      </c>
      <c r="E228" s="130" t="s">
        <v>1559</v>
      </c>
      <c r="F228" s="131" t="s">
        <v>1560</v>
      </c>
      <c r="G228" s="132" t="s">
        <v>236</v>
      </c>
      <c r="H228" s="133">
        <v>37</v>
      </c>
      <c r="I228" s="134"/>
      <c r="J228" s="135">
        <f>ROUND(I228*H228,2)</f>
        <v>0</v>
      </c>
      <c r="K228" s="131" t="s">
        <v>184</v>
      </c>
      <c r="L228" s="33"/>
      <c r="M228" s="136" t="s">
        <v>3</v>
      </c>
      <c r="N228" s="137" t="s">
        <v>48</v>
      </c>
      <c r="P228" s="138">
        <f>O228*H228</f>
        <v>0</v>
      </c>
      <c r="Q228" s="138">
        <v>0</v>
      </c>
      <c r="R228" s="138">
        <f>Q228*H228</f>
        <v>0</v>
      </c>
      <c r="S228" s="138">
        <v>0.024</v>
      </c>
      <c r="T228" s="139">
        <f>S228*H228</f>
        <v>0.888</v>
      </c>
      <c r="AR228" s="140" t="s">
        <v>237</v>
      </c>
      <c r="AT228" s="140" t="s">
        <v>180</v>
      </c>
      <c r="AU228" s="140" t="s">
        <v>87</v>
      </c>
      <c r="AY228" s="18" t="s">
        <v>177</v>
      </c>
      <c r="BE228" s="141">
        <f>IF(N228="základní",J228,0)</f>
        <v>0</v>
      </c>
      <c r="BF228" s="141">
        <f>IF(N228="snížená",J228,0)</f>
        <v>0</v>
      </c>
      <c r="BG228" s="141">
        <f>IF(N228="zákl. přenesená",J228,0)</f>
        <v>0</v>
      </c>
      <c r="BH228" s="141">
        <f>IF(N228="sníž. přenesená",J228,0)</f>
        <v>0</v>
      </c>
      <c r="BI228" s="141">
        <f>IF(N228="nulová",J228,0)</f>
        <v>0</v>
      </c>
      <c r="BJ228" s="18" t="s">
        <v>85</v>
      </c>
      <c r="BK228" s="141">
        <f>ROUND(I228*H228,2)</f>
        <v>0</v>
      </c>
      <c r="BL228" s="18" t="s">
        <v>237</v>
      </c>
      <c r="BM228" s="140" t="s">
        <v>1561</v>
      </c>
    </row>
    <row r="229" spans="2:47" s="1" customFormat="1" ht="19.5">
      <c r="B229" s="33"/>
      <c r="D229" s="142" t="s">
        <v>187</v>
      </c>
      <c r="F229" s="143" t="s">
        <v>1562</v>
      </c>
      <c r="I229" s="144"/>
      <c r="L229" s="33"/>
      <c r="M229" s="145"/>
      <c r="T229" s="54"/>
      <c r="AT229" s="18" t="s">
        <v>187</v>
      </c>
      <c r="AU229" s="18" t="s">
        <v>87</v>
      </c>
    </row>
    <row r="230" spans="2:47" s="1" customFormat="1" ht="11.25">
      <c r="B230" s="33"/>
      <c r="D230" s="146" t="s">
        <v>189</v>
      </c>
      <c r="F230" s="147" t="s">
        <v>1563</v>
      </c>
      <c r="I230" s="144"/>
      <c r="L230" s="33"/>
      <c r="M230" s="145"/>
      <c r="T230" s="54"/>
      <c r="AT230" s="18" t="s">
        <v>189</v>
      </c>
      <c r="AU230" s="18" t="s">
        <v>87</v>
      </c>
    </row>
    <row r="231" spans="2:47" s="1" customFormat="1" ht="39">
      <c r="B231" s="33"/>
      <c r="D231" s="142" t="s">
        <v>191</v>
      </c>
      <c r="F231" s="148" t="s">
        <v>1564</v>
      </c>
      <c r="I231" s="144"/>
      <c r="L231" s="33"/>
      <c r="M231" s="145"/>
      <c r="T231" s="54"/>
      <c r="AT231" s="18" t="s">
        <v>191</v>
      </c>
      <c r="AU231" s="18" t="s">
        <v>87</v>
      </c>
    </row>
    <row r="232" spans="2:51" s="12" customFormat="1" ht="11.25">
      <c r="B232" s="149"/>
      <c r="D232" s="142" t="s">
        <v>193</v>
      </c>
      <c r="E232" s="150" t="s">
        <v>3</v>
      </c>
      <c r="F232" s="151" t="s">
        <v>1565</v>
      </c>
      <c r="H232" s="152">
        <v>31</v>
      </c>
      <c r="I232" s="153"/>
      <c r="L232" s="149"/>
      <c r="M232" s="154"/>
      <c r="T232" s="155"/>
      <c r="AT232" s="150" t="s">
        <v>193</v>
      </c>
      <c r="AU232" s="150" t="s">
        <v>87</v>
      </c>
      <c r="AV232" s="12" t="s">
        <v>87</v>
      </c>
      <c r="AW232" s="12" t="s">
        <v>36</v>
      </c>
      <c r="AX232" s="12" t="s">
        <v>77</v>
      </c>
      <c r="AY232" s="150" t="s">
        <v>177</v>
      </c>
    </row>
    <row r="233" spans="2:51" s="12" customFormat="1" ht="11.25">
      <c r="B233" s="149"/>
      <c r="D233" s="142" t="s">
        <v>193</v>
      </c>
      <c r="E233" s="150" t="s">
        <v>3</v>
      </c>
      <c r="F233" s="151" t="s">
        <v>233</v>
      </c>
      <c r="H233" s="152">
        <v>6</v>
      </c>
      <c r="I233" s="153"/>
      <c r="L233" s="149"/>
      <c r="M233" s="154"/>
      <c r="T233" s="155"/>
      <c r="AT233" s="150" t="s">
        <v>193</v>
      </c>
      <c r="AU233" s="150" t="s">
        <v>87</v>
      </c>
      <c r="AV233" s="12" t="s">
        <v>87</v>
      </c>
      <c r="AW233" s="12" t="s">
        <v>36</v>
      </c>
      <c r="AX233" s="12" t="s">
        <v>77</v>
      </c>
      <c r="AY233" s="150" t="s">
        <v>177</v>
      </c>
    </row>
    <row r="234" spans="2:51" s="15" customFormat="1" ht="11.25">
      <c r="B234" s="169"/>
      <c r="D234" s="142" t="s">
        <v>193</v>
      </c>
      <c r="E234" s="170" t="s">
        <v>3</v>
      </c>
      <c r="F234" s="171" t="s">
        <v>201</v>
      </c>
      <c r="H234" s="172">
        <v>37</v>
      </c>
      <c r="I234" s="173"/>
      <c r="L234" s="169"/>
      <c r="M234" s="174"/>
      <c r="T234" s="175"/>
      <c r="AT234" s="170" t="s">
        <v>193</v>
      </c>
      <c r="AU234" s="170" t="s">
        <v>87</v>
      </c>
      <c r="AV234" s="15" t="s">
        <v>185</v>
      </c>
      <c r="AW234" s="15" t="s">
        <v>36</v>
      </c>
      <c r="AX234" s="15" t="s">
        <v>85</v>
      </c>
      <c r="AY234" s="170" t="s">
        <v>177</v>
      </c>
    </row>
    <row r="235" spans="2:63" s="11" customFormat="1" ht="25.9" customHeight="1">
      <c r="B235" s="116"/>
      <c r="D235" s="117" t="s">
        <v>76</v>
      </c>
      <c r="E235" s="118" t="s">
        <v>313</v>
      </c>
      <c r="F235" s="118" t="s">
        <v>314</v>
      </c>
      <c r="I235" s="119"/>
      <c r="J235" s="120">
        <f>BK235</f>
        <v>0</v>
      </c>
      <c r="L235" s="116"/>
      <c r="M235" s="121"/>
      <c r="P235" s="122">
        <f>SUM(P236:P238)</f>
        <v>0</v>
      </c>
      <c r="R235" s="122">
        <f>SUM(R236:R238)</f>
        <v>0</v>
      </c>
      <c r="T235" s="123">
        <f>SUM(T236:T238)</f>
        <v>0</v>
      </c>
      <c r="AR235" s="117" t="s">
        <v>185</v>
      </c>
      <c r="AT235" s="124" t="s">
        <v>76</v>
      </c>
      <c r="AU235" s="124" t="s">
        <v>77</v>
      </c>
      <c r="AY235" s="117" t="s">
        <v>177</v>
      </c>
      <c r="BK235" s="125">
        <f>SUM(BK236:BK238)</f>
        <v>0</v>
      </c>
    </row>
    <row r="236" spans="2:65" s="1" customFormat="1" ht="16.5" customHeight="1">
      <c r="B236" s="128"/>
      <c r="C236" s="129" t="s">
        <v>520</v>
      </c>
      <c r="D236" s="129" t="s">
        <v>180</v>
      </c>
      <c r="E236" s="130" t="s">
        <v>528</v>
      </c>
      <c r="F236" s="131" t="s">
        <v>529</v>
      </c>
      <c r="G236" s="132" t="s">
        <v>305</v>
      </c>
      <c r="H236" s="133">
        <v>100</v>
      </c>
      <c r="I236" s="134"/>
      <c r="J236" s="135">
        <f>ROUND(I236*H236,2)</f>
        <v>0</v>
      </c>
      <c r="K236" s="131" t="s">
        <v>184</v>
      </c>
      <c r="L236" s="33"/>
      <c r="M236" s="136" t="s">
        <v>3</v>
      </c>
      <c r="N236" s="137" t="s">
        <v>48</v>
      </c>
      <c r="P236" s="138">
        <f>O236*H236</f>
        <v>0</v>
      </c>
      <c r="Q236" s="138">
        <v>0</v>
      </c>
      <c r="R236" s="138">
        <f>Q236*H236</f>
        <v>0</v>
      </c>
      <c r="S236" s="138">
        <v>0</v>
      </c>
      <c r="T236" s="139">
        <f>S236*H236</f>
        <v>0</v>
      </c>
      <c r="AR236" s="140" t="s">
        <v>318</v>
      </c>
      <c r="AT236" s="140" t="s">
        <v>180</v>
      </c>
      <c r="AU236" s="140" t="s">
        <v>85</v>
      </c>
      <c r="AY236" s="18" t="s">
        <v>177</v>
      </c>
      <c r="BE236" s="141">
        <f>IF(N236="základní",J236,0)</f>
        <v>0</v>
      </c>
      <c r="BF236" s="141">
        <f>IF(N236="snížená",J236,0)</f>
        <v>0</v>
      </c>
      <c r="BG236" s="141">
        <f>IF(N236="zákl. přenesená",J236,0)</f>
        <v>0</v>
      </c>
      <c r="BH236" s="141">
        <f>IF(N236="sníž. přenesená",J236,0)</f>
        <v>0</v>
      </c>
      <c r="BI236" s="141">
        <f>IF(N236="nulová",J236,0)</f>
        <v>0</v>
      </c>
      <c r="BJ236" s="18" t="s">
        <v>85</v>
      </c>
      <c r="BK236" s="141">
        <f>ROUND(I236*H236,2)</f>
        <v>0</v>
      </c>
      <c r="BL236" s="18" t="s">
        <v>318</v>
      </c>
      <c r="BM236" s="140" t="s">
        <v>1566</v>
      </c>
    </row>
    <row r="237" spans="2:47" s="1" customFormat="1" ht="19.5">
      <c r="B237" s="33"/>
      <c r="D237" s="142" t="s">
        <v>187</v>
      </c>
      <c r="F237" s="143" t="s">
        <v>531</v>
      </c>
      <c r="I237" s="144"/>
      <c r="L237" s="33"/>
      <c r="M237" s="145"/>
      <c r="T237" s="54"/>
      <c r="AT237" s="18" t="s">
        <v>187</v>
      </c>
      <c r="AU237" s="18" t="s">
        <v>85</v>
      </c>
    </row>
    <row r="238" spans="2:47" s="1" customFormat="1" ht="11.25">
      <c r="B238" s="33"/>
      <c r="D238" s="146" t="s">
        <v>189</v>
      </c>
      <c r="F238" s="147" t="s">
        <v>532</v>
      </c>
      <c r="I238" s="144"/>
      <c r="L238" s="33"/>
      <c r="M238" s="189"/>
      <c r="N238" s="190"/>
      <c r="O238" s="190"/>
      <c r="P238" s="190"/>
      <c r="Q238" s="190"/>
      <c r="R238" s="190"/>
      <c r="S238" s="190"/>
      <c r="T238" s="191"/>
      <c r="AT238" s="18" t="s">
        <v>189</v>
      </c>
      <c r="AU238" s="18" t="s">
        <v>85</v>
      </c>
    </row>
    <row r="239" spans="2:12" s="1" customFormat="1" ht="6.95" customHeight="1">
      <c r="B239" s="42"/>
      <c r="C239" s="43"/>
      <c r="D239" s="43"/>
      <c r="E239" s="43"/>
      <c r="F239" s="43"/>
      <c r="G239" s="43"/>
      <c r="H239" s="43"/>
      <c r="I239" s="43"/>
      <c r="J239" s="43"/>
      <c r="K239" s="43"/>
      <c r="L239" s="33"/>
    </row>
  </sheetData>
  <autoFilter ref="C85:K238"/>
  <mergeCells count="9">
    <mergeCell ref="E50:H50"/>
    <mergeCell ref="E76:H76"/>
    <mergeCell ref="E78:H78"/>
    <mergeCell ref="L2:V2"/>
    <mergeCell ref="E7:H7"/>
    <mergeCell ref="E9:H9"/>
    <mergeCell ref="E18:H18"/>
    <mergeCell ref="E27:H27"/>
    <mergeCell ref="E48:H48"/>
  </mergeCells>
  <hyperlinks>
    <hyperlink ref="F91" r:id="rId1" display="https://podminky.urs.cz/item/CS_URS_2022_02/949101111"/>
    <hyperlink ref="F97" r:id="rId2" display="https://podminky.urs.cz/item/CS_URS_2022_02/952901111"/>
    <hyperlink ref="F101" r:id="rId3" display="https://podminky.urs.cz/item/CS_URS_2022_02/962031133"/>
    <hyperlink ref="F109" r:id="rId4" display="https://podminky.urs.cz/item/CS_URS_2022_02/962084121"/>
    <hyperlink ref="F114" r:id="rId5" display="https://podminky.urs.cz/item/CS_URS_2022_02/965042141"/>
    <hyperlink ref="F118" r:id="rId6" display="https://podminky.urs.cz/item/CS_URS_2022_02/965049111"/>
    <hyperlink ref="F121" r:id="rId7" display="https://podminky.urs.cz/item/CS_URS_2022_02/965081223"/>
    <hyperlink ref="F126" r:id="rId8" display="https://podminky.urs.cz/item/CS_URS_2022_02/968072455"/>
    <hyperlink ref="F134" r:id="rId9" display="https://podminky.urs.cz/item/CS_URS_2022_02/978013191"/>
    <hyperlink ref="F141" r:id="rId10" display="https://podminky.urs.cz/item/CS_URS_2022_02/985112132"/>
    <hyperlink ref="F145" r:id="rId11" display="https://podminky.urs.cz/item/CS_URS_2022_02/985112133"/>
    <hyperlink ref="F149" r:id="rId12" display="https://podminky.urs.cz/item/CS_URS_2022_02/985121122"/>
    <hyperlink ref="F153" r:id="rId13" display="https://podminky.urs.cz/item/CS_URS_2022_02/985131311"/>
    <hyperlink ref="F157" r:id="rId14" display="https://podminky.urs.cz/item/CS_URS_2022_02/985311312"/>
    <hyperlink ref="F163" r:id="rId15" display="https://podminky.urs.cz/item/CS_URS_2022_02/985311314"/>
    <hyperlink ref="F169" r:id="rId16" display="https://podminky.urs.cz/item/CS_URS_2022_02/985312131"/>
    <hyperlink ref="F174" r:id="rId17" display="https://podminky.urs.cz/item/CS_URS_2022_02/985321112"/>
    <hyperlink ref="F178" r:id="rId18" display="https://podminky.urs.cz/item/CS_URS_2022_02/985323111"/>
    <hyperlink ref="F182" r:id="rId19" display="https://podminky.urs.cz/item/CS_URS_2022_02/985331213"/>
    <hyperlink ref="F191" r:id="rId20" display="https://podminky.urs.cz/item/CS_URS_2022_02/985331217"/>
    <hyperlink ref="F201" r:id="rId21" display="https://podminky.urs.cz/item/CS_URS_2022_02/997013213"/>
    <hyperlink ref="F205" r:id="rId22" display="https://podminky.urs.cz/item/CS_URS_2022_02/997013219"/>
    <hyperlink ref="F210" r:id="rId23" display="https://podminky.urs.cz/item/CS_URS_2022_02/997013501"/>
    <hyperlink ref="F214" r:id="rId24" display="https://podminky.urs.cz/item/CS_URS_2022_02/997013509"/>
    <hyperlink ref="F219" r:id="rId25" display="https://podminky.urs.cz/item/CS_URS_2022_02/997013871"/>
    <hyperlink ref="F224" r:id="rId26" display="https://podminky.urs.cz/item/CS_URS_2022_02/998018002"/>
    <hyperlink ref="F230" r:id="rId27" display="https://podminky.urs.cz/item/CS_URS_2022_02/766691914"/>
    <hyperlink ref="F238" r:id="rId28"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3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t="s">
        <v>6</v>
      </c>
      <c r="M2" s="288"/>
      <c r="N2" s="288"/>
      <c r="O2" s="288"/>
      <c r="P2" s="288"/>
      <c r="Q2" s="288"/>
      <c r="R2" s="288"/>
      <c r="S2" s="288"/>
      <c r="T2" s="288"/>
      <c r="U2" s="288"/>
      <c r="V2" s="288"/>
      <c r="AT2" s="18" t="s">
        <v>108</v>
      </c>
    </row>
    <row r="3" spans="2:46" ht="6.95" customHeight="1">
      <c r="B3" s="19"/>
      <c r="C3" s="20"/>
      <c r="D3" s="20"/>
      <c r="E3" s="20"/>
      <c r="F3" s="20"/>
      <c r="G3" s="20"/>
      <c r="H3" s="20"/>
      <c r="I3" s="20"/>
      <c r="J3" s="20"/>
      <c r="K3" s="20"/>
      <c r="L3" s="21"/>
      <c r="AT3" s="18" t="s">
        <v>87</v>
      </c>
    </row>
    <row r="4" spans="2:46" ht="24.95" customHeight="1">
      <c r="B4" s="21"/>
      <c r="D4" s="22" t="s">
        <v>145</v>
      </c>
      <c r="L4" s="21"/>
      <c r="M4" s="86" t="s">
        <v>11</v>
      </c>
      <c r="AT4" s="18" t="s">
        <v>4</v>
      </c>
    </row>
    <row r="5" spans="2:12" ht="6.95" customHeight="1">
      <c r="B5" s="21"/>
      <c r="L5" s="21"/>
    </row>
    <row r="6" spans="2:12" ht="12" customHeight="1">
      <c r="B6" s="21"/>
      <c r="D6" s="28" t="s">
        <v>17</v>
      </c>
      <c r="L6" s="21"/>
    </row>
    <row r="7" spans="2:12" ht="16.5" customHeight="1">
      <c r="B7" s="21"/>
      <c r="E7" s="315" t="str">
        <f>'Rekapitulace stavby'!K6</f>
        <v>ZŠ P. HOLÉHO - PŘESTAVBA PLAVECKÉHO PAVILONU</v>
      </c>
      <c r="F7" s="316"/>
      <c r="G7" s="316"/>
      <c r="H7" s="316"/>
      <c r="L7" s="21"/>
    </row>
    <row r="8" spans="2:12" s="1" customFormat="1" ht="12" customHeight="1">
      <c r="B8" s="33"/>
      <c r="D8" s="28" t="s">
        <v>146</v>
      </c>
      <c r="L8" s="33"/>
    </row>
    <row r="9" spans="2:12" s="1" customFormat="1" ht="16.5" customHeight="1">
      <c r="B9" s="33"/>
      <c r="E9" s="281" t="s">
        <v>1567</v>
      </c>
      <c r="F9" s="317"/>
      <c r="G9" s="317"/>
      <c r="H9" s="317"/>
      <c r="L9" s="33"/>
    </row>
    <row r="10" spans="2:12" s="1" customFormat="1" ht="11.25">
      <c r="B10" s="33"/>
      <c r="L10" s="33"/>
    </row>
    <row r="11" spans="2:12" s="1" customFormat="1" ht="12" customHeight="1">
      <c r="B11" s="33"/>
      <c r="D11" s="28" t="s">
        <v>19</v>
      </c>
      <c r="F11" s="26" t="s">
        <v>3</v>
      </c>
      <c r="I11" s="28" t="s">
        <v>20</v>
      </c>
      <c r="J11" s="26" t="s">
        <v>3</v>
      </c>
      <c r="L11" s="33"/>
    </row>
    <row r="12" spans="2:12" s="1" customFormat="1" ht="12" customHeight="1">
      <c r="B12" s="33"/>
      <c r="D12" s="28" t="s">
        <v>21</v>
      </c>
      <c r="F12" s="26" t="s">
        <v>22</v>
      </c>
      <c r="I12" s="28" t="s">
        <v>23</v>
      </c>
      <c r="J12" s="50" t="str">
        <f>'Rekapitulace stavby'!AN8</f>
        <v>21. 9. 2022</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18" t="str">
        <f>'Rekapitulace stavby'!E14</f>
        <v>Vyplň údaj</v>
      </c>
      <c r="F18" s="287"/>
      <c r="G18" s="287"/>
      <c r="H18" s="287"/>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35</v>
      </c>
      <c r="L21" s="33"/>
    </row>
    <row r="22" spans="2:12" s="1" customFormat="1" ht="6.95" customHeight="1">
      <c r="B22" s="33"/>
      <c r="L22" s="33"/>
    </row>
    <row r="23" spans="2:12" s="1" customFormat="1" ht="12" customHeight="1">
      <c r="B23" s="33"/>
      <c r="D23" s="28" t="s">
        <v>37</v>
      </c>
      <c r="I23" s="28" t="s">
        <v>26</v>
      </c>
      <c r="J23" s="26" t="s">
        <v>38</v>
      </c>
      <c r="L23" s="33"/>
    </row>
    <row r="24" spans="2:12" s="1" customFormat="1" ht="18" customHeight="1">
      <c r="B24" s="33"/>
      <c r="E24" s="26" t="s">
        <v>148</v>
      </c>
      <c r="I24" s="28" t="s">
        <v>29</v>
      </c>
      <c r="J24" s="26" t="s">
        <v>3</v>
      </c>
      <c r="L24" s="33"/>
    </row>
    <row r="25" spans="2:12" s="1" customFormat="1" ht="6.95" customHeight="1">
      <c r="B25" s="33"/>
      <c r="L25" s="33"/>
    </row>
    <row r="26" spans="2:12" s="1" customFormat="1" ht="12" customHeight="1">
      <c r="B26" s="33"/>
      <c r="D26" s="28" t="s">
        <v>41</v>
      </c>
      <c r="L26" s="33"/>
    </row>
    <row r="27" spans="2:12" s="7" customFormat="1" ht="16.5" customHeight="1">
      <c r="B27" s="87"/>
      <c r="E27" s="292" t="s">
        <v>3</v>
      </c>
      <c r="F27" s="292"/>
      <c r="G27" s="292"/>
      <c r="H27" s="292"/>
      <c r="L27" s="87"/>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88" t="s">
        <v>43</v>
      </c>
      <c r="J30" s="64">
        <f>ROUND(J89,2)</f>
        <v>0</v>
      </c>
      <c r="L30" s="33"/>
    </row>
    <row r="31" spans="2:12" s="1" customFormat="1" ht="6.95" customHeight="1">
      <c r="B31" s="33"/>
      <c r="D31" s="51"/>
      <c r="E31" s="51"/>
      <c r="F31" s="51"/>
      <c r="G31" s="51"/>
      <c r="H31" s="51"/>
      <c r="I31" s="51"/>
      <c r="J31" s="51"/>
      <c r="K31" s="51"/>
      <c r="L31" s="33"/>
    </row>
    <row r="32" spans="2:12" s="1" customFormat="1" ht="14.45" customHeight="1">
      <c r="B32" s="33"/>
      <c r="F32" s="36" t="s">
        <v>45</v>
      </c>
      <c r="I32" s="36" t="s">
        <v>44</v>
      </c>
      <c r="J32" s="36" t="s">
        <v>46</v>
      </c>
      <c r="L32" s="33"/>
    </row>
    <row r="33" spans="2:12" s="1" customFormat="1" ht="14.45" customHeight="1">
      <c r="B33" s="33"/>
      <c r="D33" s="53" t="s">
        <v>47</v>
      </c>
      <c r="E33" s="28" t="s">
        <v>48</v>
      </c>
      <c r="F33" s="89">
        <f>ROUND((SUM(BE89:BE234)),2)</f>
        <v>0</v>
      </c>
      <c r="I33" s="90">
        <v>0.21</v>
      </c>
      <c r="J33" s="89">
        <f>ROUND(((SUM(BE89:BE234))*I33),2)</f>
        <v>0</v>
      </c>
      <c r="L33" s="33"/>
    </row>
    <row r="34" spans="2:12" s="1" customFormat="1" ht="14.45" customHeight="1">
      <c r="B34" s="33"/>
      <c r="E34" s="28" t="s">
        <v>49</v>
      </c>
      <c r="F34" s="89">
        <f>ROUND((SUM(BF89:BF234)),2)</f>
        <v>0</v>
      </c>
      <c r="I34" s="90">
        <v>0.15</v>
      </c>
      <c r="J34" s="89">
        <f>ROUND(((SUM(BF89:BF234))*I34),2)</f>
        <v>0</v>
      </c>
      <c r="L34" s="33"/>
    </row>
    <row r="35" spans="2:12" s="1" customFormat="1" ht="14.45" customHeight="1" hidden="1">
      <c r="B35" s="33"/>
      <c r="E35" s="28" t="s">
        <v>50</v>
      </c>
      <c r="F35" s="89">
        <f>ROUND((SUM(BG89:BG234)),2)</f>
        <v>0</v>
      </c>
      <c r="I35" s="90">
        <v>0.21</v>
      </c>
      <c r="J35" s="89">
        <f>0</f>
        <v>0</v>
      </c>
      <c r="L35" s="33"/>
    </row>
    <row r="36" spans="2:12" s="1" customFormat="1" ht="14.45" customHeight="1" hidden="1">
      <c r="B36" s="33"/>
      <c r="E36" s="28" t="s">
        <v>51</v>
      </c>
      <c r="F36" s="89">
        <f>ROUND((SUM(BH89:BH234)),2)</f>
        <v>0</v>
      </c>
      <c r="I36" s="90">
        <v>0.15</v>
      </c>
      <c r="J36" s="89">
        <f>0</f>
        <v>0</v>
      </c>
      <c r="L36" s="33"/>
    </row>
    <row r="37" spans="2:12" s="1" customFormat="1" ht="14.45" customHeight="1" hidden="1">
      <c r="B37" s="33"/>
      <c r="E37" s="28" t="s">
        <v>52</v>
      </c>
      <c r="F37" s="89">
        <f>ROUND((SUM(BI89:BI234)),2)</f>
        <v>0</v>
      </c>
      <c r="I37" s="90">
        <v>0</v>
      </c>
      <c r="J37" s="89">
        <f>0</f>
        <v>0</v>
      </c>
      <c r="L37" s="33"/>
    </row>
    <row r="38" spans="2:12" s="1" customFormat="1" ht="6.95" customHeight="1">
      <c r="B38" s="33"/>
      <c r="L38" s="33"/>
    </row>
    <row r="39" spans="2:12" s="1" customFormat="1" ht="25.35" customHeight="1">
      <c r="B39" s="33"/>
      <c r="C39" s="91"/>
      <c r="D39" s="92" t="s">
        <v>53</v>
      </c>
      <c r="E39" s="55"/>
      <c r="F39" s="55"/>
      <c r="G39" s="93" t="s">
        <v>54</v>
      </c>
      <c r="H39" s="94" t="s">
        <v>55</v>
      </c>
      <c r="I39" s="55"/>
      <c r="J39" s="95">
        <f>SUM(J30:J37)</f>
        <v>0</v>
      </c>
      <c r="K39" s="96"/>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149</v>
      </c>
      <c r="L45" s="33"/>
    </row>
    <row r="46" spans="2:12" s="1" customFormat="1" ht="6.95" customHeight="1">
      <c r="B46" s="33"/>
      <c r="L46" s="33"/>
    </row>
    <row r="47" spans="2:12" s="1" customFormat="1" ht="12" customHeight="1">
      <c r="B47" s="33"/>
      <c r="C47" s="28" t="s">
        <v>17</v>
      </c>
      <c r="L47" s="33"/>
    </row>
    <row r="48" spans="2:12" s="1" customFormat="1" ht="16.5" customHeight="1">
      <c r="B48" s="33"/>
      <c r="E48" s="315" t="str">
        <f>E7</f>
        <v>ZŠ P. HOLÉHO - PŘESTAVBA PLAVECKÉHO PAVILONU</v>
      </c>
      <c r="F48" s="316"/>
      <c r="G48" s="316"/>
      <c r="H48" s="316"/>
      <c r="L48" s="33"/>
    </row>
    <row r="49" spans="2:12" s="1" customFormat="1" ht="12" customHeight="1">
      <c r="B49" s="33"/>
      <c r="C49" s="28" t="s">
        <v>146</v>
      </c>
      <c r="L49" s="33"/>
    </row>
    <row r="50" spans="2:12" s="1" customFormat="1" ht="16.5" customHeight="1">
      <c r="B50" s="33"/>
      <c r="E50" s="281" t="str">
        <f>E9</f>
        <v>E 8 - Provedení otvoru pro schodišťový prostor</v>
      </c>
      <c r="F50" s="317"/>
      <c r="G50" s="317"/>
      <c r="H50" s="317"/>
      <c r="L50" s="33"/>
    </row>
    <row r="51" spans="2:12" s="1" customFormat="1" ht="6.95" customHeight="1">
      <c r="B51" s="33"/>
      <c r="L51" s="33"/>
    </row>
    <row r="52" spans="2:12" s="1" customFormat="1" ht="12" customHeight="1">
      <c r="B52" s="33"/>
      <c r="C52" s="28" t="s">
        <v>21</v>
      </c>
      <c r="F52" s="26" t="str">
        <f>F12</f>
        <v>Prokopa Holého 2632, Louny, 440 01</v>
      </c>
      <c r="I52" s="28" t="s">
        <v>23</v>
      </c>
      <c r="J52" s="50" t="str">
        <f>IF(J12="","",J12)</f>
        <v>21. 9. 2022</v>
      </c>
      <c r="L52" s="33"/>
    </row>
    <row r="53" spans="2:12" s="1" customFormat="1" ht="6.95" customHeight="1">
      <c r="B53" s="33"/>
      <c r="L53" s="33"/>
    </row>
    <row r="54" spans="2:12" s="1" customFormat="1" ht="15.2" customHeight="1">
      <c r="B54" s="33"/>
      <c r="C54" s="28" t="s">
        <v>25</v>
      </c>
      <c r="F54" s="26" t="str">
        <f>E15</f>
        <v>Město Louny</v>
      </c>
      <c r="I54" s="28" t="s">
        <v>32</v>
      </c>
      <c r="J54" s="31" t="str">
        <f>E21</f>
        <v>RYSIK Design s.r.o.</v>
      </c>
      <c r="L54" s="33"/>
    </row>
    <row r="55" spans="2:12" s="1" customFormat="1" ht="25.7" customHeight="1">
      <c r="B55" s="33"/>
      <c r="C55" s="28" t="s">
        <v>30</v>
      </c>
      <c r="F55" s="26" t="str">
        <f>IF(E18="","",E18)</f>
        <v>Vyplň údaj</v>
      </c>
      <c r="I55" s="28" t="s">
        <v>37</v>
      </c>
      <c r="J55" s="31" t="str">
        <f>E24</f>
        <v>ing. Kateřina Tumpachová</v>
      </c>
      <c r="L55" s="33"/>
    </row>
    <row r="56" spans="2:12" s="1" customFormat="1" ht="10.35" customHeight="1">
      <c r="B56" s="33"/>
      <c r="L56" s="33"/>
    </row>
    <row r="57" spans="2:12" s="1" customFormat="1" ht="29.25" customHeight="1">
      <c r="B57" s="33"/>
      <c r="C57" s="97" t="s">
        <v>150</v>
      </c>
      <c r="D57" s="91"/>
      <c r="E57" s="91"/>
      <c r="F57" s="91"/>
      <c r="G57" s="91"/>
      <c r="H57" s="91"/>
      <c r="I57" s="91"/>
      <c r="J57" s="98" t="s">
        <v>151</v>
      </c>
      <c r="K57" s="91"/>
      <c r="L57" s="33"/>
    </row>
    <row r="58" spans="2:12" s="1" customFormat="1" ht="10.35" customHeight="1">
      <c r="B58" s="33"/>
      <c r="L58" s="33"/>
    </row>
    <row r="59" spans="2:47" s="1" customFormat="1" ht="22.9" customHeight="1">
      <c r="B59" s="33"/>
      <c r="C59" s="99" t="s">
        <v>75</v>
      </c>
      <c r="J59" s="64">
        <f>J89</f>
        <v>0</v>
      </c>
      <c r="L59" s="33"/>
      <c r="AU59" s="18" t="s">
        <v>152</v>
      </c>
    </row>
    <row r="60" spans="2:12" s="8" customFormat="1" ht="24.95" customHeight="1">
      <c r="B60" s="100"/>
      <c r="D60" s="101" t="s">
        <v>153</v>
      </c>
      <c r="E60" s="102"/>
      <c r="F60" s="102"/>
      <c r="G60" s="102"/>
      <c r="H60" s="102"/>
      <c r="I60" s="102"/>
      <c r="J60" s="103">
        <f>J90</f>
        <v>0</v>
      </c>
      <c r="L60" s="100"/>
    </row>
    <row r="61" spans="2:12" s="9" customFormat="1" ht="19.9" customHeight="1">
      <c r="B61" s="104"/>
      <c r="D61" s="105" t="s">
        <v>545</v>
      </c>
      <c r="E61" s="106"/>
      <c r="F61" s="106"/>
      <c r="G61" s="106"/>
      <c r="H61" s="106"/>
      <c r="I61" s="106"/>
      <c r="J61" s="107">
        <f>J91</f>
        <v>0</v>
      </c>
      <c r="L61" s="104"/>
    </row>
    <row r="62" spans="2:12" s="9" customFormat="1" ht="19.9" customHeight="1">
      <c r="B62" s="104"/>
      <c r="D62" s="105" t="s">
        <v>1568</v>
      </c>
      <c r="E62" s="106"/>
      <c r="F62" s="106"/>
      <c r="G62" s="106"/>
      <c r="H62" s="106"/>
      <c r="I62" s="106"/>
      <c r="J62" s="107">
        <f>J96</f>
        <v>0</v>
      </c>
      <c r="L62" s="104"/>
    </row>
    <row r="63" spans="2:12" s="9" customFormat="1" ht="19.9" customHeight="1">
      <c r="B63" s="104"/>
      <c r="D63" s="105" t="s">
        <v>325</v>
      </c>
      <c r="E63" s="106"/>
      <c r="F63" s="106"/>
      <c r="G63" s="106"/>
      <c r="H63" s="106"/>
      <c r="I63" s="106"/>
      <c r="J63" s="107">
        <f>J114</f>
        <v>0</v>
      </c>
      <c r="L63" s="104"/>
    </row>
    <row r="64" spans="2:12" s="9" customFormat="1" ht="19.9" customHeight="1">
      <c r="B64" s="104"/>
      <c r="D64" s="105" t="s">
        <v>154</v>
      </c>
      <c r="E64" s="106"/>
      <c r="F64" s="106"/>
      <c r="G64" s="106"/>
      <c r="H64" s="106"/>
      <c r="I64" s="106"/>
      <c r="J64" s="107">
        <f>J153</f>
        <v>0</v>
      </c>
      <c r="L64" s="104"/>
    </row>
    <row r="65" spans="2:12" s="9" customFormat="1" ht="19.9" customHeight="1">
      <c r="B65" s="104"/>
      <c r="D65" s="105" t="s">
        <v>326</v>
      </c>
      <c r="E65" s="106"/>
      <c r="F65" s="106"/>
      <c r="G65" s="106"/>
      <c r="H65" s="106"/>
      <c r="I65" s="106"/>
      <c r="J65" s="107">
        <f>J176</f>
        <v>0</v>
      </c>
      <c r="L65" s="104"/>
    </row>
    <row r="66" spans="2:12" s="8" customFormat="1" ht="24.95" customHeight="1">
      <c r="B66" s="100"/>
      <c r="D66" s="101" t="s">
        <v>155</v>
      </c>
      <c r="E66" s="102"/>
      <c r="F66" s="102"/>
      <c r="G66" s="102"/>
      <c r="H66" s="102"/>
      <c r="I66" s="102"/>
      <c r="J66" s="103">
        <f>J181</f>
        <v>0</v>
      </c>
      <c r="L66" s="100"/>
    </row>
    <row r="67" spans="2:12" s="9" customFormat="1" ht="19.9" customHeight="1">
      <c r="B67" s="104"/>
      <c r="D67" s="105" t="s">
        <v>924</v>
      </c>
      <c r="E67" s="106"/>
      <c r="F67" s="106"/>
      <c r="G67" s="106"/>
      <c r="H67" s="106"/>
      <c r="I67" s="106"/>
      <c r="J67" s="107">
        <f>J182</f>
        <v>0</v>
      </c>
      <c r="L67" s="104"/>
    </row>
    <row r="68" spans="2:12" s="9" customFormat="1" ht="19.9" customHeight="1">
      <c r="B68" s="104"/>
      <c r="D68" s="105" t="s">
        <v>1569</v>
      </c>
      <c r="E68" s="106"/>
      <c r="F68" s="106"/>
      <c r="G68" s="106"/>
      <c r="H68" s="106"/>
      <c r="I68" s="106"/>
      <c r="J68" s="107">
        <f>J213</f>
        <v>0</v>
      </c>
      <c r="L68" s="104"/>
    </row>
    <row r="69" spans="2:12" s="8" customFormat="1" ht="24.95" customHeight="1">
      <c r="B69" s="100"/>
      <c r="D69" s="101" t="s">
        <v>161</v>
      </c>
      <c r="E69" s="102"/>
      <c r="F69" s="102"/>
      <c r="G69" s="102"/>
      <c r="H69" s="102"/>
      <c r="I69" s="102"/>
      <c r="J69" s="103">
        <f>J231</f>
        <v>0</v>
      </c>
      <c r="L69" s="100"/>
    </row>
    <row r="70" spans="2:12" s="1" customFormat="1" ht="21.75" customHeight="1">
      <c r="B70" s="33"/>
      <c r="L70" s="33"/>
    </row>
    <row r="71" spans="2:12" s="1" customFormat="1" ht="6.95" customHeight="1">
      <c r="B71" s="42"/>
      <c r="C71" s="43"/>
      <c r="D71" s="43"/>
      <c r="E71" s="43"/>
      <c r="F71" s="43"/>
      <c r="G71" s="43"/>
      <c r="H71" s="43"/>
      <c r="I71" s="43"/>
      <c r="J71" s="43"/>
      <c r="K71" s="43"/>
      <c r="L71" s="33"/>
    </row>
    <row r="75" spans="2:12" s="1" customFormat="1" ht="6.95" customHeight="1">
      <c r="B75" s="44"/>
      <c r="C75" s="45"/>
      <c r="D75" s="45"/>
      <c r="E75" s="45"/>
      <c r="F75" s="45"/>
      <c r="G75" s="45"/>
      <c r="H75" s="45"/>
      <c r="I75" s="45"/>
      <c r="J75" s="45"/>
      <c r="K75" s="45"/>
      <c r="L75" s="33"/>
    </row>
    <row r="76" spans="2:12" s="1" customFormat="1" ht="24.95" customHeight="1">
      <c r="B76" s="33"/>
      <c r="C76" s="22" t="s">
        <v>162</v>
      </c>
      <c r="L76" s="33"/>
    </row>
    <row r="77" spans="2:12" s="1" customFormat="1" ht="6.95" customHeight="1">
      <c r="B77" s="33"/>
      <c r="L77" s="33"/>
    </row>
    <row r="78" spans="2:12" s="1" customFormat="1" ht="12" customHeight="1">
      <c r="B78" s="33"/>
      <c r="C78" s="28" t="s">
        <v>17</v>
      </c>
      <c r="L78" s="33"/>
    </row>
    <row r="79" spans="2:12" s="1" customFormat="1" ht="16.5" customHeight="1">
      <c r="B79" s="33"/>
      <c r="E79" s="315" t="str">
        <f>E7</f>
        <v>ZŠ P. HOLÉHO - PŘESTAVBA PLAVECKÉHO PAVILONU</v>
      </c>
      <c r="F79" s="316"/>
      <c r="G79" s="316"/>
      <c r="H79" s="316"/>
      <c r="L79" s="33"/>
    </row>
    <row r="80" spans="2:12" s="1" customFormat="1" ht="12" customHeight="1">
      <c r="B80" s="33"/>
      <c r="C80" s="28" t="s">
        <v>146</v>
      </c>
      <c r="L80" s="33"/>
    </row>
    <row r="81" spans="2:12" s="1" customFormat="1" ht="16.5" customHeight="1">
      <c r="B81" s="33"/>
      <c r="E81" s="281" t="str">
        <f>E9</f>
        <v>E 8 - Provedení otvoru pro schodišťový prostor</v>
      </c>
      <c r="F81" s="317"/>
      <c r="G81" s="317"/>
      <c r="H81" s="317"/>
      <c r="L81" s="33"/>
    </row>
    <row r="82" spans="2:12" s="1" customFormat="1" ht="6.95" customHeight="1">
      <c r="B82" s="33"/>
      <c r="L82" s="33"/>
    </row>
    <row r="83" spans="2:12" s="1" customFormat="1" ht="12" customHeight="1">
      <c r="B83" s="33"/>
      <c r="C83" s="28" t="s">
        <v>21</v>
      </c>
      <c r="F83" s="26" t="str">
        <f>F12</f>
        <v>Prokopa Holého 2632, Louny, 440 01</v>
      </c>
      <c r="I83" s="28" t="s">
        <v>23</v>
      </c>
      <c r="J83" s="50" t="str">
        <f>IF(J12="","",J12)</f>
        <v>21. 9. 2022</v>
      </c>
      <c r="L83" s="33"/>
    </row>
    <row r="84" spans="2:12" s="1" customFormat="1" ht="6.95" customHeight="1">
      <c r="B84" s="33"/>
      <c r="L84" s="33"/>
    </row>
    <row r="85" spans="2:12" s="1" customFormat="1" ht="15.2" customHeight="1">
      <c r="B85" s="33"/>
      <c r="C85" s="28" t="s">
        <v>25</v>
      </c>
      <c r="F85" s="26" t="str">
        <f>E15</f>
        <v>Město Louny</v>
      </c>
      <c r="I85" s="28" t="s">
        <v>32</v>
      </c>
      <c r="J85" s="31" t="str">
        <f>E21</f>
        <v>RYSIK Design s.r.o.</v>
      </c>
      <c r="L85" s="33"/>
    </row>
    <row r="86" spans="2:12" s="1" customFormat="1" ht="25.7" customHeight="1">
      <c r="B86" s="33"/>
      <c r="C86" s="28" t="s">
        <v>30</v>
      </c>
      <c r="F86" s="26" t="str">
        <f>IF(E18="","",E18)</f>
        <v>Vyplň údaj</v>
      </c>
      <c r="I86" s="28" t="s">
        <v>37</v>
      </c>
      <c r="J86" s="31" t="str">
        <f>E24</f>
        <v>ing. Kateřina Tumpachová</v>
      </c>
      <c r="L86" s="33"/>
    </row>
    <row r="87" spans="2:12" s="1" customFormat="1" ht="10.35" customHeight="1">
      <c r="B87" s="33"/>
      <c r="L87" s="33"/>
    </row>
    <row r="88" spans="2:20" s="10" customFormat="1" ht="29.25" customHeight="1">
      <c r="B88" s="108"/>
      <c r="C88" s="109" t="s">
        <v>163</v>
      </c>
      <c r="D88" s="110" t="s">
        <v>62</v>
      </c>
      <c r="E88" s="110" t="s">
        <v>58</v>
      </c>
      <c r="F88" s="110" t="s">
        <v>59</v>
      </c>
      <c r="G88" s="110" t="s">
        <v>164</v>
      </c>
      <c r="H88" s="110" t="s">
        <v>165</v>
      </c>
      <c r="I88" s="110" t="s">
        <v>166</v>
      </c>
      <c r="J88" s="110" t="s">
        <v>151</v>
      </c>
      <c r="K88" s="111" t="s">
        <v>167</v>
      </c>
      <c r="L88" s="108"/>
      <c r="M88" s="57" t="s">
        <v>3</v>
      </c>
      <c r="N88" s="58" t="s">
        <v>47</v>
      </c>
      <c r="O88" s="58" t="s">
        <v>168</v>
      </c>
      <c r="P88" s="58" t="s">
        <v>169</v>
      </c>
      <c r="Q88" s="58" t="s">
        <v>170</v>
      </c>
      <c r="R88" s="58" t="s">
        <v>171</v>
      </c>
      <c r="S88" s="58" t="s">
        <v>172</v>
      </c>
      <c r="T88" s="59" t="s">
        <v>173</v>
      </c>
    </row>
    <row r="89" spans="2:63" s="1" customFormat="1" ht="22.9" customHeight="1">
      <c r="B89" s="33"/>
      <c r="C89" s="62" t="s">
        <v>174</v>
      </c>
      <c r="J89" s="112">
        <f>BK89</f>
        <v>0</v>
      </c>
      <c r="L89" s="33"/>
      <c r="M89" s="60"/>
      <c r="N89" s="51"/>
      <c r="O89" s="51"/>
      <c r="P89" s="113">
        <f>P90+P181+P231</f>
        <v>0</v>
      </c>
      <c r="Q89" s="51"/>
      <c r="R89" s="113">
        <f>R90+R181+R231</f>
        <v>1.759802825</v>
      </c>
      <c r="S89" s="51"/>
      <c r="T89" s="114">
        <f>T90+T181+T231</f>
        <v>11.8386</v>
      </c>
      <c r="AT89" s="18" t="s">
        <v>76</v>
      </c>
      <c r="AU89" s="18" t="s">
        <v>152</v>
      </c>
      <c r="BK89" s="115">
        <f>BK90+BK181+BK231</f>
        <v>0</v>
      </c>
    </row>
    <row r="90" spans="2:63" s="11" customFormat="1" ht="25.9" customHeight="1">
      <c r="B90" s="116"/>
      <c r="D90" s="117" t="s">
        <v>76</v>
      </c>
      <c r="E90" s="118" t="s">
        <v>175</v>
      </c>
      <c r="F90" s="118" t="s">
        <v>176</v>
      </c>
      <c r="I90" s="119"/>
      <c r="J90" s="120">
        <f>BK90</f>
        <v>0</v>
      </c>
      <c r="L90" s="116"/>
      <c r="M90" s="121"/>
      <c r="P90" s="122">
        <f>P91+P96+P114+P153+P176</f>
        <v>0</v>
      </c>
      <c r="R90" s="122">
        <f>R91+R96+R114+R153+R176</f>
        <v>0.989774384</v>
      </c>
      <c r="T90" s="123">
        <f>T91+T96+T114+T153+T176</f>
        <v>11.8386</v>
      </c>
      <c r="AR90" s="117" t="s">
        <v>85</v>
      </c>
      <c r="AT90" s="124" t="s">
        <v>76</v>
      </c>
      <c r="AU90" s="124" t="s">
        <v>77</v>
      </c>
      <c r="AY90" s="117" t="s">
        <v>177</v>
      </c>
      <c r="BK90" s="125">
        <f>BK91+BK96+BK114+BK153+BK176</f>
        <v>0</v>
      </c>
    </row>
    <row r="91" spans="2:63" s="11" customFormat="1" ht="22.9" customHeight="1">
      <c r="B91" s="116"/>
      <c r="D91" s="117" t="s">
        <v>76</v>
      </c>
      <c r="E91" s="126" t="s">
        <v>198</v>
      </c>
      <c r="F91" s="126" t="s">
        <v>559</v>
      </c>
      <c r="I91" s="119"/>
      <c r="J91" s="127">
        <f>BK91</f>
        <v>0</v>
      </c>
      <c r="L91" s="116"/>
      <c r="M91" s="121"/>
      <c r="P91" s="122">
        <f>SUM(P92:P95)</f>
        <v>0</v>
      </c>
      <c r="R91" s="122">
        <f>SUM(R92:R95)</f>
        <v>0.06242399999999999</v>
      </c>
      <c r="T91" s="123">
        <f>SUM(T92:T95)</f>
        <v>0</v>
      </c>
      <c r="AR91" s="117" t="s">
        <v>85</v>
      </c>
      <c r="AT91" s="124" t="s">
        <v>76</v>
      </c>
      <c r="AU91" s="124" t="s">
        <v>85</v>
      </c>
      <c r="AY91" s="117" t="s">
        <v>177</v>
      </c>
      <c r="BK91" s="125">
        <f>SUM(BK92:BK95)</f>
        <v>0</v>
      </c>
    </row>
    <row r="92" spans="2:65" s="1" customFormat="1" ht="24.2" customHeight="1">
      <c r="B92" s="128"/>
      <c r="C92" s="129" t="s">
        <v>85</v>
      </c>
      <c r="D92" s="129" t="s">
        <v>180</v>
      </c>
      <c r="E92" s="130" t="s">
        <v>1570</v>
      </c>
      <c r="F92" s="131" t="s">
        <v>1571</v>
      </c>
      <c r="G92" s="132" t="s">
        <v>476</v>
      </c>
      <c r="H92" s="133">
        <v>20.4</v>
      </c>
      <c r="I92" s="134"/>
      <c r="J92" s="135">
        <f>ROUND(I92*H92,2)</f>
        <v>0</v>
      </c>
      <c r="K92" s="131" t="s">
        <v>244</v>
      </c>
      <c r="L92" s="33"/>
      <c r="M92" s="136" t="s">
        <v>3</v>
      </c>
      <c r="N92" s="137" t="s">
        <v>48</v>
      </c>
      <c r="P92" s="138">
        <f>O92*H92</f>
        <v>0</v>
      </c>
      <c r="Q92" s="138">
        <v>0.00306</v>
      </c>
      <c r="R92" s="138">
        <f>Q92*H92</f>
        <v>0.06242399999999999</v>
      </c>
      <c r="S92" s="138">
        <v>0</v>
      </c>
      <c r="T92" s="139">
        <f>S92*H92</f>
        <v>0</v>
      </c>
      <c r="AR92" s="140" t="s">
        <v>185</v>
      </c>
      <c r="AT92" s="140" t="s">
        <v>180</v>
      </c>
      <c r="AU92" s="140" t="s">
        <v>87</v>
      </c>
      <c r="AY92" s="18" t="s">
        <v>177</v>
      </c>
      <c r="BE92" s="141">
        <f>IF(N92="základní",J92,0)</f>
        <v>0</v>
      </c>
      <c r="BF92" s="141">
        <f>IF(N92="snížená",J92,0)</f>
        <v>0</v>
      </c>
      <c r="BG92" s="141">
        <f>IF(N92="zákl. přenesená",J92,0)</f>
        <v>0</v>
      </c>
      <c r="BH92" s="141">
        <f>IF(N92="sníž. přenesená",J92,0)</f>
        <v>0</v>
      </c>
      <c r="BI92" s="141">
        <f>IF(N92="nulová",J92,0)</f>
        <v>0</v>
      </c>
      <c r="BJ92" s="18" t="s">
        <v>85</v>
      </c>
      <c r="BK92" s="141">
        <f>ROUND(I92*H92,2)</f>
        <v>0</v>
      </c>
      <c r="BL92" s="18" t="s">
        <v>185</v>
      </c>
      <c r="BM92" s="140" t="s">
        <v>1572</v>
      </c>
    </row>
    <row r="93" spans="2:47" s="1" customFormat="1" ht="19.5">
      <c r="B93" s="33"/>
      <c r="D93" s="142" t="s">
        <v>187</v>
      </c>
      <c r="F93" s="143" t="s">
        <v>1573</v>
      </c>
      <c r="I93" s="144"/>
      <c r="L93" s="33"/>
      <c r="M93" s="145"/>
      <c r="T93" s="54"/>
      <c r="AT93" s="18" t="s">
        <v>187</v>
      </c>
      <c r="AU93" s="18" t="s">
        <v>87</v>
      </c>
    </row>
    <row r="94" spans="2:47" s="1" customFormat="1" ht="78">
      <c r="B94" s="33"/>
      <c r="D94" s="142" t="s">
        <v>191</v>
      </c>
      <c r="F94" s="148" t="s">
        <v>603</v>
      </c>
      <c r="I94" s="144"/>
      <c r="L94" s="33"/>
      <c r="M94" s="145"/>
      <c r="T94" s="54"/>
      <c r="AT94" s="18" t="s">
        <v>191</v>
      </c>
      <c r="AU94" s="18" t="s">
        <v>87</v>
      </c>
    </row>
    <row r="95" spans="2:51" s="12" customFormat="1" ht="11.25">
      <c r="B95" s="149"/>
      <c r="D95" s="142" t="s">
        <v>193</v>
      </c>
      <c r="E95" s="150" t="s">
        <v>3</v>
      </c>
      <c r="F95" s="151" t="s">
        <v>1574</v>
      </c>
      <c r="H95" s="152">
        <v>20.4</v>
      </c>
      <c r="I95" s="153"/>
      <c r="L95" s="149"/>
      <c r="M95" s="154"/>
      <c r="T95" s="155"/>
      <c r="AT95" s="150" t="s">
        <v>193</v>
      </c>
      <c r="AU95" s="150" t="s">
        <v>87</v>
      </c>
      <c r="AV95" s="12" t="s">
        <v>87</v>
      </c>
      <c r="AW95" s="12" t="s">
        <v>36</v>
      </c>
      <c r="AX95" s="12" t="s">
        <v>85</v>
      </c>
      <c r="AY95" s="150" t="s">
        <v>177</v>
      </c>
    </row>
    <row r="96" spans="2:63" s="11" customFormat="1" ht="22.9" customHeight="1">
      <c r="B96" s="116"/>
      <c r="D96" s="117" t="s">
        <v>76</v>
      </c>
      <c r="E96" s="126" t="s">
        <v>185</v>
      </c>
      <c r="F96" s="126" t="s">
        <v>1575</v>
      </c>
      <c r="I96" s="119"/>
      <c r="J96" s="127">
        <f>BK96</f>
        <v>0</v>
      </c>
      <c r="L96" s="116"/>
      <c r="M96" s="121"/>
      <c r="P96" s="122">
        <f>SUM(P97:P113)</f>
        <v>0</v>
      </c>
      <c r="R96" s="122">
        <f>SUM(R97:R113)</f>
        <v>0.22350528</v>
      </c>
      <c r="T96" s="123">
        <f>SUM(T97:T113)</f>
        <v>0</v>
      </c>
      <c r="AR96" s="117" t="s">
        <v>85</v>
      </c>
      <c r="AT96" s="124" t="s">
        <v>76</v>
      </c>
      <c r="AU96" s="124" t="s">
        <v>85</v>
      </c>
      <c r="AY96" s="117" t="s">
        <v>177</v>
      </c>
      <c r="BK96" s="125">
        <f>SUM(BK97:BK113)</f>
        <v>0</v>
      </c>
    </row>
    <row r="97" spans="2:65" s="1" customFormat="1" ht="24.2" customHeight="1">
      <c r="B97" s="128"/>
      <c r="C97" s="129" t="s">
        <v>87</v>
      </c>
      <c r="D97" s="129" t="s">
        <v>180</v>
      </c>
      <c r="E97" s="130" t="s">
        <v>1576</v>
      </c>
      <c r="F97" s="131" t="s">
        <v>1577</v>
      </c>
      <c r="G97" s="132" t="s">
        <v>332</v>
      </c>
      <c r="H97" s="133">
        <v>36</v>
      </c>
      <c r="I97" s="134"/>
      <c r="J97" s="135">
        <f>ROUND(I97*H97,2)</f>
        <v>0</v>
      </c>
      <c r="K97" s="131" t="s">
        <v>184</v>
      </c>
      <c r="L97" s="33"/>
      <c r="M97" s="136" t="s">
        <v>3</v>
      </c>
      <c r="N97" s="137" t="s">
        <v>48</v>
      </c>
      <c r="P97" s="138">
        <f>O97*H97</f>
        <v>0</v>
      </c>
      <c r="Q97" s="138">
        <v>0.0053262</v>
      </c>
      <c r="R97" s="138">
        <f>Q97*H97</f>
        <v>0.1917432</v>
      </c>
      <c r="S97" s="138">
        <v>0</v>
      </c>
      <c r="T97" s="139">
        <f>S97*H97</f>
        <v>0</v>
      </c>
      <c r="AR97" s="140" t="s">
        <v>185</v>
      </c>
      <c r="AT97" s="140" t="s">
        <v>180</v>
      </c>
      <c r="AU97" s="140" t="s">
        <v>87</v>
      </c>
      <c r="AY97" s="18" t="s">
        <v>177</v>
      </c>
      <c r="BE97" s="141">
        <f>IF(N97="základní",J97,0)</f>
        <v>0</v>
      </c>
      <c r="BF97" s="141">
        <f>IF(N97="snížená",J97,0)</f>
        <v>0</v>
      </c>
      <c r="BG97" s="141">
        <f>IF(N97="zákl. přenesená",J97,0)</f>
        <v>0</v>
      </c>
      <c r="BH97" s="141">
        <f>IF(N97="sníž. přenesená",J97,0)</f>
        <v>0</v>
      </c>
      <c r="BI97" s="141">
        <f>IF(N97="nulová",J97,0)</f>
        <v>0</v>
      </c>
      <c r="BJ97" s="18" t="s">
        <v>85</v>
      </c>
      <c r="BK97" s="141">
        <f>ROUND(I97*H97,2)</f>
        <v>0</v>
      </c>
      <c r="BL97" s="18" t="s">
        <v>185</v>
      </c>
      <c r="BM97" s="140" t="s">
        <v>1578</v>
      </c>
    </row>
    <row r="98" spans="2:47" s="1" customFormat="1" ht="19.5">
      <c r="B98" s="33"/>
      <c r="D98" s="142" t="s">
        <v>187</v>
      </c>
      <c r="F98" s="143" t="s">
        <v>1579</v>
      </c>
      <c r="I98" s="144"/>
      <c r="L98" s="33"/>
      <c r="M98" s="145"/>
      <c r="T98" s="54"/>
      <c r="AT98" s="18" t="s">
        <v>187</v>
      </c>
      <c r="AU98" s="18" t="s">
        <v>87</v>
      </c>
    </row>
    <row r="99" spans="2:47" s="1" customFormat="1" ht="11.25">
      <c r="B99" s="33"/>
      <c r="D99" s="146" t="s">
        <v>189</v>
      </c>
      <c r="F99" s="147" t="s">
        <v>1580</v>
      </c>
      <c r="I99" s="144"/>
      <c r="L99" s="33"/>
      <c r="M99" s="145"/>
      <c r="T99" s="54"/>
      <c r="AT99" s="18" t="s">
        <v>189</v>
      </c>
      <c r="AU99" s="18" t="s">
        <v>87</v>
      </c>
    </row>
    <row r="100" spans="2:47" s="1" customFormat="1" ht="243.75">
      <c r="B100" s="33"/>
      <c r="D100" s="142" t="s">
        <v>191</v>
      </c>
      <c r="F100" s="148" t="s">
        <v>1581</v>
      </c>
      <c r="I100" s="144"/>
      <c r="L100" s="33"/>
      <c r="M100" s="145"/>
      <c r="T100" s="54"/>
      <c r="AT100" s="18" t="s">
        <v>191</v>
      </c>
      <c r="AU100" s="18" t="s">
        <v>87</v>
      </c>
    </row>
    <row r="101" spans="2:51" s="12" customFormat="1" ht="11.25">
      <c r="B101" s="149"/>
      <c r="D101" s="142" t="s">
        <v>193</v>
      </c>
      <c r="E101" s="150" t="s">
        <v>3</v>
      </c>
      <c r="F101" s="151" t="s">
        <v>1582</v>
      </c>
      <c r="H101" s="152">
        <v>36</v>
      </c>
      <c r="I101" s="153"/>
      <c r="L101" s="149"/>
      <c r="M101" s="154"/>
      <c r="T101" s="155"/>
      <c r="AT101" s="150" t="s">
        <v>193</v>
      </c>
      <c r="AU101" s="150" t="s">
        <v>87</v>
      </c>
      <c r="AV101" s="12" t="s">
        <v>87</v>
      </c>
      <c r="AW101" s="12" t="s">
        <v>36</v>
      </c>
      <c r="AX101" s="12" t="s">
        <v>85</v>
      </c>
      <c r="AY101" s="150" t="s">
        <v>177</v>
      </c>
    </row>
    <row r="102" spans="2:65" s="1" customFormat="1" ht="24.2" customHeight="1">
      <c r="B102" s="128"/>
      <c r="C102" s="129" t="s">
        <v>198</v>
      </c>
      <c r="D102" s="129" t="s">
        <v>180</v>
      </c>
      <c r="E102" s="130" t="s">
        <v>1583</v>
      </c>
      <c r="F102" s="131" t="s">
        <v>1584</v>
      </c>
      <c r="G102" s="132" t="s">
        <v>332</v>
      </c>
      <c r="H102" s="133">
        <v>36</v>
      </c>
      <c r="I102" s="134"/>
      <c r="J102" s="135">
        <f>ROUND(I102*H102,2)</f>
        <v>0</v>
      </c>
      <c r="K102" s="131" t="s">
        <v>184</v>
      </c>
      <c r="L102" s="33"/>
      <c r="M102" s="136" t="s">
        <v>3</v>
      </c>
      <c r="N102" s="137" t="s">
        <v>48</v>
      </c>
      <c r="P102" s="138">
        <f>O102*H102</f>
        <v>0</v>
      </c>
      <c r="Q102" s="138">
        <v>0</v>
      </c>
      <c r="R102" s="138">
        <f>Q102*H102</f>
        <v>0</v>
      </c>
      <c r="S102" s="138">
        <v>0</v>
      </c>
      <c r="T102" s="139">
        <f>S102*H102</f>
        <v>0</v>
      </c>
      <c r="AR102" s="140" t="s">
        <v>185</v>
      </c>
      <c r="AT102" s="140" t="s">
        <v>180</v>
      </c>
      <c r="AU102" s="140" t="s">
        <v>87</v>
      </c>
      <c r="AY102" s="18" t="s">
        <v>177</v>
      </c>
      <c r="BE102" s="141">
        <f>IF(N102="základní",J102,0)</f>
        <v>0</v>
      </c>
      <c r="BF102" s="141">
        <f>IF(N102="snížená",J102,0)</f>
        <v>0</v>
      </c>
      <c r="BG102" s="141">
        <f>IF(N102="zákl. přenesená",J102,0)</f>
        <v>0</v>
      </c>
      <c r="BH102" s="141">
        <f>IF(N102="sníž. přenesená",J102,0)</f>
        <v>0</v>
      </c>
      <c r="BI102" s="141">
        <f>IF(N102="nulová",J102,0)</f>
        <v>0</v>
      </c>
      <c r="BJ102" s="18" t="s">
        <v>85</v>
      </c>
      <c r="BK102" s="141">
        <f>ROUND(I102*H102,2)</f>
        <v>0</v>
      </c>
      <c r="BL102" s="18" t="s">
        <v>185</v>
      </c>
      <c r="BM102" s="140" t="s">
        <v>1585</v>
      </c>
    </row>
    <row r="103" spans="2:47" s="1" customFormat="1" ht="19.5">
      <c r="B103" s="33"/>
      <c r="D103" s="142" t="s">
        <v>187</v>
      </c>
      <c r="F103" s="143" t="s">
        <v>1586</v>
      </c>
      <c r="I103" s="144"/>
      <c r="L103" s="33"/>
      <c r="M103" s="145"/>
      <c r="T103" s="54"/>
      <c r="AT103" s="18" t="s">
        <v>187</v>
      </c>
      <c r="AU103" s="18" t="s">
        <v>87</v>
      </c>
    </row>
    <row r="104" spans="2:47" s="1" customFormat="1" ht="11.25">
      <c r="B104" s="33"/>
      <c r="D104" s="146" t="s">
        <v>189</v>
      </c>
      <c r="F104" s="147" t="s">
        <v>1587</v>
      </c>
      <c r="I104" s="144"/>
      <c r="L104" s="33"/>
      <c r="M104" s="145"/>
      <c r="T104" s="54"/>
      <c r="AT104" s="18" t="s">
        <v>189</v>
      </c>
      <c r="AU104" s="18" t="s">
        <v>87</v>
      </c>
    </row>
    <row r="105" spans="2:47" s="1" customFormat="1" ht="243.75">
      <c r="B105" s="33"/>
      <c r="D105" s="142" t="s">
        <v>191</v>
      </c>
      <c r="F105" s="148" t="s">
        <v>1581</v>
      </c>
      <c r="I105" s="144"/>
      <c r="L105" s="33"/>
      <c r="M105" s="145"/>
      <c r="T105" s="54"/>
      <c r="AT105" s="18" t="s">
        <v>191</v>
      </c>
      <c r="AU105" s="18" t="s">
        <v>87</v>
      </c>
    </row>
    <row r="106" spans="2:65" s="1" customFormat="1" ht="24.2" customHeight="1">
      <c r="B106" s="128"/>
      <c r="C106" s="129" t="s">
        <v>185</v>
      </c>
      <c r="D106" s="129" t="s">
        <v>180</v>
      </c>
      <c r="E106" s="130" t="s">
        <v>1588</v>
      </c>
      <c r="F106" s="131" t="s">
        <v>1589</v>
      </c>
      <c r="G106" s="132" t="s">
        <v>332</v>
      </c>
      <c r="H106" s="133">
        <v>36</v>
      </c>
      <c r="I106" s="134"/>
      <c r="J106" s="135">
        <f>ROUND(I106*H106,2)</f>
        <v>0</v>
      </c>
      <c r="K106" s="131" t="s">
        <v>184</v>
      </c>
      <c r="L106" s="33"/>
      <c r="M106" s="136" t="s">
        <v>3</v>
      </c>
      <c r="N106" s="137" t="s">
        <v>48</v>
      </c>
      <c r="P106" s="138">
        <f>O106*H106</f>
        <v>0</v>
      </c>
      <c r="Q106" s="138">
        <v>0.00088228</v>
      </c>
      <c r="R106" s="138">
        <f>Q106*H106</f>
        <v>0.03176208</v>
      </c>
      <c r="S106" s="138">
        <v>0</v>
      </c>
      <c r="T106" s="139">
        <f>S106*H106</f>
        <v>0</v>
      </c>
      <c r="AR106" s="140" t="s">
        <v>185</v>
      </c>
      <c r="AT106" s="140" t="s">
        <v>180</v>
      </c>
      <c r="AU106" s="140" t="s">
        <v>87</v>
      </c>
      <c r="AY106" s="18" t="s">
        <v>177</v>
      </c>
      <c r="BE106" s="141">
        <f>IF(N106="základní",J106,0)</f>
        <v>0</v>
      </c>
      <c r="BF106" s="141">
        <f>IF(N106="snížená",J106,0)</f>
        <v>0</v>
      </c>
      <c r="BG106" s="141">
        <f>IF(N106="zákl. přenesená",J106,0)</f>
        <v>0</v>
      </c>
      <c r="BH106" s="141">
        <f>IF(N106="sníž. přenesená",J106,0)</f>
        <v>0</v>
      </c>
      <c r="BI106" s="141">
        <f>IF(N106="nulová",J106,0)</f>
        <v>0</v>
      </c>
      <c r="BJ106" s="18" t="s">
        <v>85</v>
      </c>
      <c r="BK106" s="141">
        <f>ROUND(I106*H106,2)</f>
        <v>0</v>
      </c>
      <c r="BL106" s="18" t="s">
        <v>185</v>
      </c>
      <c r="BM106" s="140" t="s">
        <v>1590</v>
      </c>
    </row>
    <row r="107" spans="2:47" s="1" customFormat="1" ht="19.5">
      <c r="B107" s="33"/>
      <c r="D107" s="142" t="s">
        <v>187</v>
      </c>
      <c r="F107" s="143" t="s">
        <v>1591</v>
      </c>
      <c r="I107" s="144"/>
      <c r="L107" s="33"/>
      <c r="M107" s="145"/>
      <c r="T107" s="54"/>
      <c r="AT107" s="18" t="s">
        <v>187</v>
      </c>
      <c r="AU107" s="18" t="s">
        <v>87</v>
      </c>
    </row>
    <row r="108" spans="2:47" s="1" customFormat="1" ht="11.25">
      <c r="B108" s="33"/>
      <c r="D108" s="146" t="s">
        <v>189</v>
      </c>
      <c r="F108" s="147" t="s">
        <v>1592</v>
      </c>
      <c r="I108" s="144"/>
      <c r="L108" s="33"/>
      <c r="M108" s="145"/>
      <c r="T108" s="54"/>
      <c r="AT108" s="18" t="s">
        <v>189</v>
      </c>
      <c r="AU108" s="18" t="s">
        <v>87</v>
      </c>
    </row>
    <row r="109" spans="2:47" s="1" customFormat="1" ht="29.25">
      <c r="B109" s="33"/>
      <c r="D109" s="142" t="s">
        <v>191</v>
      </c>
      <c r="F109" s="148" t="s">
        <v>1593</v>
      </c>
      <c r="I109" s="144"/>
      <c r="L109" s="33"/>
      <c r="M109" s="145"/>
      <c r="T109" s="54"/>
      <c r="AT109" s="18" t="s">
        <v>191</v>
      </c>
      <c r="AU109" s="18" t="s">
        <v>87</v>
      </c>
    </row>
    <row r="110" spans="2:65" s="1" customFormat="1" ht="24.2" customHeight="1">
      <c r="B110" s="128"/>
      <c r="C110" s="129" t="s">
        <v>200</v>
      </c>
      <c r="D110" s="129" t="s">
        <v>180</v>
      </c>
      <c r="E110" s="130" t="s">
        <v>1594</v>
      </c>
      <c r="F110" s="131" t="s">
        <v>1595</v>
      </c>
      <c r="G110" s="132" t="s">
        <v>332</v>
      </c>
      <c r="H110" s="133">
        <v>36</v>
      </c>
      <c r="I110" s="134"/>
      <c r="J110" s="135">
        <f>ROUND(I110*H110,2)</f>
        <v>0</v>
      </c>
      <c r="K110" s="131" t="s">
        <v>184</v>
      </c>
      <c r="L110" s="33"/>
      <c r="M110" s="136" t="s">
        <v>3</v>
      </c>
      <c r="N110" s="137" t="s">
        <v>48</v>
      </c>
      <c r="P110" s="138">
        <f>O110*H110</f>
        <v>0</v>
      </c>
      <c r="Q110" s="138">
        <v>0</v>
      </c>
      <c r="R110" s="138">
        <f>Q110*H110</f>
        <v>0</v>
      </c>
      <c r="S110" s="138">
        <v>0</v>
      </c>
      <c r="T110" s="139">
        <f>S110*H110</f>
        <v>0</v>
      </c>
      <c r="AR110" s="140" t="s">
        <v>185</v>
      </c>
      <c r="AT110" s="140" t="s">
        <v>180</v>
      </c>
      <c r="AU110" s="140" t="s">
        <v>87</v>
      </c>
      <c r="AY110" s="18" t="s">
        <v>177</v>
      </c>
      <c r="BE110" s="141">
        <f>IF(N110="základní",J110,0)</f>
        <v>0</v>
      </c>
      <c r="BF110" s="141">
        <f>IF(N110="snížená",J110,0)</f>
        <v>0</v>
      </c>
      <c r="BG110" s="141">
        <f>IF(N110="zákl. přenesená",J110,0)</f>
        <v>0</v>
      </c>
      <c r="BH110" s="141">
        <f>IF(N110="sníž. přenesená",J110,0)</f>
        <v>0</v>
      </c>
      <c r="BI110" s="141">
        <f>IF(N110="nulová",J110,0)</f>
        <v>0</v>
      </c>
      <c r="BJ110" s="18" t="s">
        <v>85</v>
      </c>
      <c r="BK110" s="141">
        <f>ROUND(I110*H110,2)</f>
        <v>0</v>
      </c>
      <c r="BL110" s="18" t="s">
        <v>185</v>
      </c>
      <c r="BM110" s="140" t="s">
        <v>1596</v>
      </c>
    </row>
    <row r="111" spans="2:47" s="1" customFormat="1" ht="19.5">
      <c r="B111" s="33"/>
      <c r="D111" s="142" t="s">
        <v>187</v>
      </c>
      <c r="F111" s="143" t="s">
        <v>1597</v>
      </c>
      <c r="I111" s="144"/>
      <c r="L111" s="33"/>
      <c r="M111" s="145"/>
      <c r="T111" s="54"/>
      <c r="AT111" s="18" t="s">
        <v>187</v>
      </c>
      <c r="AU111" s="18" t="s">
        <v>87</v>
      </c>
    </row>
    <row r="112" spans="2:47" s="1" customFormat="1" ht="11.25">
      <c r="B112" s="33"/>
      <c r="D112" s="146" t="s">
        <v>189</v>
      </c>
      <c r="F112" s="147" t="s">
        <v>1598</v>
      </c>
      <c r="I112" s="144"/>
      <c r="L112" s="33"/>
      <c r="M112" s="145"/>
      <c r="T112" s="54"/>
      <c r="AT112" s="18" t="s">
        <v>189</v>
      </c>
      <c r="AU112" s="18" t="s">
        <v>87</v>
      </c>
    </row>
    <row r="113" spans="2:47" s="1" customFormat="1" ht="29.25">
      <c r="B113" s="33"/>
      <c r="D113" s="142" t="s">
        <v>191</v>
      </c>
      <c r="F113" s="148" t="s">
        <v>1593</v>
      </c>
      <c r="I113" s="144"/>
      <c r="L113" s="33"/>
      <c r="M113" s="145"/>
      <c r="T113" s="54"/>
      <c r="AT113" s="18" t="s">
        <v>191</v>
      </c>
      <c r="AU113" s="18" t="s">
        <v>87</v>
      </c>
    </row>
    <row r="114" spans="2:63" s="11" customFormat="1" ht="22.9" customHeight="1">
      <c r="B114" s="116"/>
      <c r="D114" s="117" t="s">
        <v>76</v>
      </c>
      <c r="E114" s="126" t="s">
        <v>252</v>
      </c>
      <c r="F114" s="126" t="s">
        <v>329</v>
      </c>
      <c r="I114" s="119"/>
      <c r="J114" s="127">
        <f>BK114</f>
        <v>0</v>
      </c>
      <c r="L114" s="116"/>
      <c r="M114" s="121"/>
      <c r="P114" s="122">
        <f>SUM(P115:P152)</f>
        <v>0</v>
      </c>
      <c r="R114" s="122">
        <f>SUM(R115:R152)</f>
        <v>0.703845104</v>
      </c>
      <c r="T114" s="123">
        <f>SUM(T115:T152)</f>
        <v>11.8386</v>
      </c>
      <c r="AR114" s="117" t="s">
        <v>85</v>
      </c>
      <c r="AT114" s="124" t="s">
        <v>76</v>
      </c>
      <c r="AU114" s="124" t="s">
        <v>85</v>
      </c>
      <c r="AY114" s="117" t="s">
        <v>177</v>
      </c>
      <c r="BK114" s="125">
        <f>SUM(BK115:BK152)</f>
        <v>0</v>
      </c>
    </row>
    <row r="115" spans="2:65" s="1" customFormat="1" ht="33" customHeight="1">
      <c r="B115" s="128"/>
      <c r="C115" s="129" t="s">
        <v>233</v>
      </c>
      <c r="D115" s="129" t="s">
        <v>180</v>
      </c>
      <c r="E115" s="130" t="s">
        <v>681</v>
      </c>
      <c r="F115" s="131" t="s">
        <v>682</v>
      </c>
      <c r="G115" s="132" t="s">
        <v>332</v>
      </c>
      <c r="H115" s="133">
        <v>36</v>
      </c>
      <c r="I115" s="134"/>
      <c r="J115" s="135">
        <f>ROUND(I115*H115,2)</f>
        <v>0</v>
      </c>
      <c r="K115" s="131" t="s">
        <v>184</v>
      </c>
      <c r="L115" s="33"/>
      <c r="M115" s="136" t="s">
        <v>3</v>
      </c>
      <c r="N115" s="137" t="s">
        <v>48</v>
      </c>
      <c r="P115" s="138">
        <f>O115*H115</f>
        <v>0</v>
      </c>
      <c r="Q115" s="138">
        <v>0.00013</v>
      </c>
      <c r="R115" s="138">
        <f>Q115*H115</f>
        <v>0.004679999999999999</v>
      </c>
      <c r="S115" s="138">
        <v>0</v>
      </c>
      <c r="T115" s="139">
        <f>S115*H115</f>
        <v>0</v>
      </c>
      <c r="AR115" s="140" t="s">
        <v>185</v>
      </c>
      <c r="AT115" s="140" t="s">
        <v>180</v>
      </c>
      <c r="AU115" s="140" t="s">
        <v>87</v>
      </c>
      <c r="AY115" s="18" t="s">
        <v>177</v>
      </c>
      <c r="BE115" s="141">
        <f>IF(N115="základní",J115,0)</f>
        <v>0</v>
      </c>
      <c r="BF115" s="141">
        <f>IF(N115="snížená",J115,0)</f>
        <v>0</v>
      </c>
      <c r="BG115" s="141">
        <f>IF(N115="zákl. přenesená",J115,0)</f>
        <v>0</v>
      </c>
      <c r="BH115" s="141">
        <f>IF(N115="sníž. přenesená",J115,0)</f>
        <v>0</v>
      </c>
      <c r="BI115" s="141">
        <f>IF(N115="nulová",J115,0)</f>
        <v>0</v>
      </c>
      <c r="BJ115" s="18" t="s">
        <v>85</v>
      </c>
      <c r="BK115" s="141">
        <f>ROUND(I115*H115,2)</f>
        <v>0</v>
      </c>
      <c r="BL115" s="18" t="s">
        <v>185</v>
      </c>
      <c r="BM115" s="140" t="s">
        <v>1599</v>
      </c>
    </row>
    <row r="116" spans="2:47" s="1" customFormat="1" ht="19.5">
      <c r="B116" s="33"/>
      <c r="D116" s="142" t="s">
        <v>187</v>
      </c>
      <c r="F116" s="143" t="s">
        <v>684</v>
      </c>
      <c r="I116" s="144"/>
      <c r="L116" s="33"/>
      <c r="M116" s="145"/>
      <c r="T116" s="54"/>
      <c r="AT116" s="18" t="s">
        <v>187</v>
      </c>
      <c r="AU116" s="18" t="s">
        <v>87</v>
      </c>
    </row>
    <row r="117" spans="2:47" s="1" customFormat="1" ht="11.25">
      <c r="B117" s="33"/>
      <c r="D117" s="146" t="s">
        <v>189</v>
      </c>
      <c r="F117" s="147" t="s">
        <v>685</v>
      </c>
      <c r="I117" s="144"/>
      <c r="L117" s="33"/>
      <c r="M117" s="145"/>
      <c r="T117" s="54"/>
      <c r="AT117" s="18" t="s">
        <v>189</v>
      </c>
      <c r="AU117" s="18" t="s">
        <v>87</v>
      </c>
    </row>
    <row r="118" spans="2:47" s="1" customFormat="1" ht="78">
      <c r="B118" s="33"/>
      <c r="D118" s="142" t="s">
        <v>191</v>
      </c>
      <c r="F118" s="148" t="s">
        <v>336</v>
      </c>
      <c r="I118" s="144"/>
      <c r="L118" s="33"/>
      <c r="M118" s="145"/>
      <c r="T118" s="54"/>
      <c r="AT118" s="18" t="s">
        <v>191</v>
      </c>
      <c r="AU118" s="18" t="s">
        <v>87</v>
      </c>
    </row>
    <row r="119" spans="2:51" s="12" customFormat="1" ht="11.25">
      <c r="B119" s="149"/>
      <c r="D119" s="142" t="s">
        <v>193</v>
      </c>
      <c r="E119" s="150" t="s">
        <v>3</v>
      </c>
      <c r="F119" s="151" t="s">
        <v>1582</v>
      </c>
      <c r="H119" s="152">
        <v>36</v>
      </c>
      <c r="I119" s="153"/>
      <c r="L119" s="149"/>
      <c r="M119" s="154"/>
      <c r="T119" s="155"/>
      <c r="AT119" s="150" t="s">
        <v>193</v>
      </c>
      <c r="AU119" s="150" t="s">
        <v>87</v>
      </c>
      <c r="AV119" s="12" t="s">
        <v>87</v>
      </c>
      <c r="AW119" s="12" t="s">
        <v>36</v>
      </c>
      <c r="AX119" s="12" t="s">
        <v>77</v>
      </c>
      <c r="AY119" s="150" t="s">
        <v>177</v>
      </c>
    </row>
    <row r="120" spans="2:51" s="15" customFormat="1" ht="11.25">
      <c r="B120" s="169"/>
      <c r="D120" s="142" t="s">
        <v>193</v>
      </c>
      <c r="E120" s="170" t="s">
        <v>3</v>
      </c>
      <c r="F120" s="171" t="s">
        <v>201</v>
      </c>
      <c r="H120" s="172">
        <v>36</v>
      </c>
      <c r="I120" s="173"/>
      <c r="L120" s="169"/>
      <c r="M120" s="174"/>
      <c r="T120" s="175"/>
      <c r="AT120" s="170" t="s">
        <v>193</v>
      </c>
      <c r="AU120" s="170" t="s">
        <v>87</v>
      </c>
      <c r="AV120" s="15" t="s">
        <v>185</v>
      </c>
      <c r="AW120" s="15" t="s">
        <v>36</v>
      </c>
      <c r="AX120" s="15" t="s">
        <v>85</v>
      </c>
      <c r="AY120" s="170" t="s">
        <v>177</v>
      </c>
    </row>
    <row r="121" spans="2:65" s="1" customFormat="1" ht="24.2" customHeight="1">
      <c r="B121" s="128"/>
      <c r="C121" s="129" t="s">
        <v>241</v>
      </c>
      <c r="D121" s="129" t="s">
        <v>180</v>
      </c>
      <c r="E121" s="130" t="s">
        <v>339</v>
      </c>
      <c r="F121" s="131" t="s">
        <v>340</v>
      </c>
      <c r="G121" s="132" t="s">
        <v>332</v>
      </c>
      <c r="H121" s="133">
        <v>36</v>
      </c>
      <c r="I121" s="134"/>
      <c r="J121" s="135">
        <f>ROUND(I121*H121,2)</f>
        <v>0</v>
      </c>
      <c r="K121" s="131" t="s">
        <v>184</v>
      </c>
      <c r="L121" s="33"/>
      <c r="M121" s="136" t="s">
        <v>3</v>
      </c>
      <c r="N121" s="137" t="s">
        <v>48</v>
      </c>
      <c r="P121" s="138">
        <f>O121*H121</f>
        <v>0</v>
      </c>
      <c r="Q121" s="138">
        <v>3.5E-05</v>
      </c>
      <c r="R121" s="138">
        <f>Q121*H121</f>
        <v>0.0012599999999999998</v>
      </c>
      <c r="S121" s="138">
        <v>0</v>
      </c>
      <c r="T121" s="139">
        <f>S121*H121</f>
        <v>0</v>
      </c>
      <c r="AR121" s="140" t="s">
        <v>185</v>
      </c>
      <c r="AT121" s="140" t="s">
        <v>180</v>
      </c>
      <c r="AU121" s="140" t="s">
        <v>87</v>
      </c>
      <c r="AY121" s="18" t="s">
        <v>177</v>
      </c>
      <c r="BE121" s="141">
        <f>IF(N121="základní",J121,0)</f>
        <v>0</v>
      </c>
      <c r="BF121" s="141">
        <f>IF(N121="snížená",J121,0)</f>
        <v>0</v>
      </c>
      <c r="BG121" s="141">
        <f>IF(N121="zákl. přenesená",J121,0)</f>
        <v>0</v>
      </c>
      <c r="BH121" s="141">
        <f>IF(N121="sníž. přenesená",J121,0)</f>
        <v>0</v>
      </c>
      <c r="BI121" s="141">
        <f>IF(N121="nulová",J121,0)</f>
        <v>0</v>
      </c>
      <c r="BJ121" s="18" t="s">
        <v>85</v>
      </c>
      <c r="BK121" s="141">
        <f>ROUND(I121*H121,2)</f>
        <v>0</v>
      </c>
      <c r="BL121" s="18" t="s">
        <v>185</v>
      </c>
      <c r="BM121" s="140" t="s">
        <v>1600</v>
      </c>
    </row>
    <row r="122" spans="2:47" s="1" customFormat="1" ht="19.5">
      <c r="B122" s="33"/>
      <c r="D122" s="142" t="s">
        <v>187</v>
      </c>
      <c r="F122" s="143" t="s">
        <v>342</v>
      </c>
      <c r="I122" s="144"/>
      <c r="L122" s="33"/>
      <c r="M122" s="145"/>
      <c r="T122" s="54"/>
      <c r="AT122" s="18" t="s">
        <v>187</v>
      </c>
      <c r="AU122" s="18" t="s">
        <v>87</v>
      </c>
    </row>
    <row r="123" spans="2:47" s="1" customFormat="1" ht="11.25">
      <c r="B123" s="33"/>
      <c r="D123" s="146" t="s">
        <v>189</v>
      </c>
      <c r="F123" s="147" t="s">
        <v>343</v>
      </c>
      <c r="I123" s="144"/>
      <c r="L123" s="33"/>
      <c r="M123" s="145"/>
      <c r="T123" s="54"/>
      <c r="AT123" s="18" t="s">
        <v>189</v>
      </c>
      <c r="AU123" s="18" t="s">
        <v>87</v>
      </c>
    </row>
    <row r="124" spans="2:47" s="1" customFormat="1" ht="273">
      <c r="B124" s="33"/>
      <c r="D124" s="142" t="s">
        <v>191</v>
      </c>
      <c r="F124" s="148" t="s">
        <v>344</v>
      </c>
      <c r="I124" s="144"/>
      <c r="L124" s="33"/>
      <c r="M124" s="145"/>
      <c r="T124" s="54"/>
      <c r="AT124" s="18" t="s">
        <v>191</v>
      </c>
      <c r="AU124" s="18" t="s">
        <v>87</v>
      </c>
    </row>
    <row r="125" spans="2:65" s="1" customFormat="1" ht="21.75" customHeight="1">
      <c r="B125" s="128"/>
      <c r="C125" s="129" t="s">
        <v>248</v>
      </c>
      <c r="D125" s="129" t="s">
        <v>180</v>
      </c>
      <c r="E125" s="130" t="s">
        <v>1478</v>
      </c>
      <c r="F125" s="131" t="s">
        <v>1479</v>
      </c>
      <c r="G125" s="132" t="s">
        <v>332</v>
      </c>
      <c r="H125" s="133">
        <v>5</v>
      </c>
      <c r="I125" s="134"/>
      <c r="J125" s="135">
        <f>ROUND(I125*H125,2)</f>
        <v>0</v>
      </c>
      <c r="K125" s="131" t="s">
        <v>184</v>
      </c>
      <c r="L125" s="33"/>
      <c r="M125" s="136" t="s">
        <v>3</v>
      </c>
      <c r="N125" s="137" t="s">
        <v>48</v>
      </c>
      <c r="P125" s="138">
        <f>O125*H125</f>
        <v>0</v>
      </c>
      <c r="Q125" s="138">
        <v>0</v>
      </c>
      <c r="R125" s="138">
        <f>Q125*H125</f>
        <v>0</v>
      </c>
      <c r="S125" s="138">
        <v>0.261</v>
      </c>
      <c r="T125" s="139">
        <f>S125*H125</f>
        <v>1.3050000000000002</v>
      </c>
      <c r="AR125" s="140" t="s">
        <v>185</v>
      </c>
      <c r="AT125" s="140" t="s">
        <v>180</v>
      </c>
      <c r="AU125" s="140" t="s">
        <v>87</v>
      </c>
      <c r="AY125" s="18" t="s">
        <v>177</v>
      </c>
      <c r="BE125" s="141">
        <f>IF(N125="základní",J125,0)</f>
        <v>0</v>
      </c>
      <c r="BF125" s="141">
        <f>IF(N125="snížená",J125,0)</f>
        <v>0</v>
      </c>
      <c r="BG125" s="141">
        <f>IF(N125="zákl. přenesená",J125,0)</f>
        <v>0</v>
      </c>
      <c r="BH125" s="141">
        <f>IF(N125="sníž. přenesená",J125,0)</f>
        <v>0</v>
      </c>
      <c r="BI125" s="141">
        <f>IF(N125="nulová",J125,0)</f>
        <v>0</v>
      </c>
      <c r="BJ125" s="18" t="s">
        <v>85</v>
      </c>
      <c r="BK125" s="141">
        <f>ROUND(I125*H125,2)</f>
        <v>0</v>
      </c>
      <c r="BL125" s="18" t="s">
        <v>185</v>
      </c>
      <c r="BM125" s="140" t="s">
        <v>1601</v>
      </c>
    </row>
    <row r="126" spans="2:47" s="1" customFormat="1" ht="29.25">
      <c r="B126" s="33"/>
      <c r="D126" s="142" t="s">
        <v>187</v>
      </c>
      <c r="F126" s="143" t="s">
        <v>1481</v>
      </c>
      <c r="I126" s="144"/>
      <c r="L126" s="33"/>
      <c r="M126" s="145"/>
      <c r="T126" s="54"/>
      <c r="AT126" s="18" t="s">
        <v>187</v>
      </c>
      <c r="AU126" s="18" t="s">
        <v>87</v>
      </c>
    </row>
    <row r="127" spans="2:47" s="1" customFormat="1" ht="11.25">
      <c r="B127" s="33"/>
      <c r="D127" s="146" t="s">
        <v>189</v>
      </c>
      <c r="F127" s="147" t="s">
        <v>1482</v>
      </c>
      <c r="I127" s="144"/>
      <c r="L127" s="33"/>
      <c r="M127" s="145"/>
      <c r="T127" s="54"/>
      <c r="AT127" s="18" t="s">
        <v>189</v>
      </c>
      <c r="AU127" s="18" t="s">
        <v>87</v>
      </c>
    </row>
    <row r="128" spans="2:51" s="13" customFormat="1" ht="22.5">
      <c r="B128" s="156"/>
      <c r="D128" s="142" t="s">
        <v>193</v>
      </c>
      <c r="E128" s="157" t="s">
        <v>3</v>
      </c>
      <c r="F128" s="158" t="s">
        <v>1602</v>
      </c>
      <c r="H128" s="157" t="s">
        <v>3</v>
      </c>
      <c r="I128" s="159"/>
      <c r="L128" s="156"/>
      <c r="M128" s="160"/>
      <c r="T128" s="161"/>
      <c r="AT128" s="157" t="s">
        <v>193</v>
      </c>
      <c r="AU128" s="157" t="s">
        <v>87</v>
      </c>
      <c r="AV128" s="13" t="s">
        <v>85</v>
      </c>
      <c r="AW128" s="13" t="s">
        <v>36</v>
      </c>
      <c r="AX128" s="13" t="s">
        <v>77</v>
      </c>
      <c r="AY128" s="157" t="s">
        <v>177</v>
      </c>
    </row>
    <row r="129" spans="2:51" s="12" customFormat="1" ht="11.25">
      <c r="B129" s="149"/>
      <c r="D129" s="142" t="s">
        <v>193</v>
      </c>
      <c r="E129" s="150" t="s">
        <v>3</v>
      </c>
      <c r="F129" s="151" t="s">
        <v>200</v>
      </c>
      <c r="H129" s="152">
        <v>5</v>
      </c>
      <c r="I129" s="153"/>
      <c r="L129" s="149"/>
      <c r="M129" s="154"/>
      <c r="T129" s="155"/>
      <c r="AT129" s="150" t="s">
        <v>193</v>
      </c>
      <c r="AU129" s="150" t="s">
        <v>87</v>
      </c>
      <c r="AV129" s="12" t="s">
        <v>87</v>
      </c>
      <c r="AW129" s="12" t="s">
        <v>36</v>
      </c>
      <c r="AX129" s="12" t="s">
        <v>85</v>
      </c>
      <c r="AY129" s="150" t="s">
        <v>177</v>
      </c>
    </row>
    <row r="130" spans="2:65" s="1" customFormat="1" ht="16.5" customHeight="1">
      <c r="B130" s="128"/>
      <c r="C130" s="129" t="s">
        <v>252</v>
      </c>
      <c r="D130" s="129" t="s">
        <v>180</v>
      </c>
      <c r="E130" s="130" t="s">
        <v>1603</v>
      </c>
      <c r="F130" s="131" t="s">
        <v>1604</v>
      </c>
      <c r="G130" s="132" t="s">
        <v>806</v>
      </c>
      <c r="H130" s="133">
        <v>4.389</v>
      </c>
      <c r="I130" s="134"/>
      <c r="J130" s="135">
        <f>ROUND(I130*H130,2)</f>
        <v>0</v>
      </c>
      <c r="K130" s="131" t="s">
        <v>184</v>
      </c>
      <c r="L130" s="33"/>
      <c r="M130" s="136" t="s">
        <v>3</v>
      </c>
      <c r="N130" s="137" t="s">
        <v>48</v>
      </c>
      <c r="P130" s="138">
        <f>O130*H130</f>
        <v>0</v>
      </c>
      <c r="Q130" s="138">
        <v>0</v>
      </c>
      <c r="R130" s="138">
        <f>Q130*H130</f>
        <v>0</v>
      </c>
      <c r="S130" s="138">
        <v>2.4</v>
      </c>
      <c r="T130" s="139">
        <f>S130*H130</f>
        <v>10.5336</v>
      </c>
      <c r="AR130" s="140" t="s">
        <v>185</v>
      </c>
      <c r="AT130" s="140" t="s">
        <v>180</v>
      </c>
      <c r="AU130" s="140" t="s">
        <v>87</v>
      </c>
      <c r="AY130" s="18" t="s">
        <v>177</v>
      </c>
      <c r="BE130" s="141">
        <f>IF(N130="základní",J130,0)</f>
        <v>0</v>
      </c>
      <c r="BF130" s="141">
        <f>IF(N130="snížená",J130,0)</f>
        <v>0</v>
      </c>
      <c r="BG130" s="141">
        <f>IF(N130="zákl. přenesená",J130,0)</f>
        <v>0</v>
      </c>
      <c r="BH130" s="141">
        <f>IF(N130="sníž. přenesená",J130,0)</f>
        <v>0</v>
      </c>
      <c r="BI130" s="141">
        <f>IF(N130="nulová",J130,0)</f>
        <v>0</v>
      </c>
      <c r="BJ130" s="18" t="s">
        <v>85</v>
      </c>
      <c r="BK130" s="141">
        <f>ROUND(I130*H130,2)</f>
        <v>0</v>
      </c>
      <c r="BL130" s="18" t="s">
        <v>185</v>
      </c>
      <c r="BM130" s="140" t="s">
        <v>1605</v>
      </c>
    </row>
    <row r="131" spans="2:47" s="1" customFormat="1" ht="11.25">
      <c r="B131" s="33"/>
      <c r="D131" s="142" t="s">
        <v>187</v>
      </c>
      <c r="F131" s="143" t="s">
        <v>1606</v>
      </c>
      <c r="I131" s="144"/>
      <c r="L131" s="33"/>
      <c r="M131" s="145"/>
      <c r="T131" s="54"/>
      <c r="AT131" s="18" t="s">
        <v>187</v>
      </c>
      <c r="AU131" s="18" t="s">
        <v>87</v>
      </c>
    </row>
    <row r="132" spans="2:47" s="1" customFormat="1" ht="11.25">
      <c r="B132" s="33"/>
      <c r="D132" s="146" t="s">
        <v>189</v>
      </c>
      <c r="F132" s="147" t="s">
        <v>1607</v>
      </c>
      <c r="I132" s="144"/>
      <c r="L132" s="33"/>
      <c r="M132" s="145"/>
      <c r="T132" s="54"/>
      <c r="AT132" s="18" t="s">
        <v>189</v>
      </c>
      <c r="AU132" s="18" t="s">
        <v>87</v>
      </c>
    </row>
    <row r="133" spans="2:47" s="1" customFormat="1" ht="39">
      <c r="B133" s="33"/>
      <c r="D133" s="142" t="s">
        <v>191</v>
      </c>
      <c r="F133" s="148" t="s">
        <v>1608</v>
      </c>
      <c r="I133" s="144"/>
      <c r="L133" s="33"/>
      <c r="M133" s="145"/>
      <c r="T133" s="54"/>
      <c r="AT133" s="18" t="s">
        <v>191</v>
      </c>
      <c r="AU133" s="18" t="s">
        <v>87</v>
      </c>
    </row>
    <row r="134" spans="2:51" s="12" customFormat="1" ht="11.25">
      <c r="B134" s="149"/>
      <c r="D134" s="142" t="s">
        <v>193</v>
      </c>
      <c r="E134" s="150" t="s">
        <v>3</v>
      </c>
      <c r="F134" s="151" t="s">
        <v>1609</v>
      </c>
      <c r="H134" s="152">
        <v>4.389</v>
      </c>
      <c r="I134" s="153"/>
      <c r="L134" s="149"/>
      <c r="M134" s="154"/>
      <c r="T134" s="155"/>
      <c r="AT134" s="150" t="s">
        <v>193</v>
      </c>
      <c r="AU134" s="150" t="s">
        <v>87</v>
      </c>
      <c r="AV134" s="12" t="s">
        <v>87</v>
      </c>
      <c r="AW134" s="12" t="s">
        <v>36</v>
      </c>
      <c r="AX134" s="12" t="s">
        <v>85</v>
      </c>
      <c r="AY134" s="150" t="s">
        <v>177</v>
      </c>
    </row>
    <row r="135" spans="2:65" s="1" customFormat="1" ht="33" customHeight="1">
      <c r="B135" s="128"/>
      <c r="C135" s="129" t="s">
        <v>258</v>
      </c>
      <c r="D135" s="129" t="s">
        <v>180</v>
      </c>
      <c r="E135" s="130" t="s">
        <v>700</v>
      </c>
      <c r="F135" s="131" t="s">
        <v>701</v>
      </c>
      <c r="G135" s="132" t="s">
        <v>476</v>
      </c>
      <c r="H135" s="133">
        <v>24</v>
      </c>
      <c r="I135" s="134"/>
      <c r="J135" s="135">
        <f>ROUND(I135*H135,2)</f>
        <v>0</v>
      </c>
      <c r="K135" s="131" t="s">
        <v>184</v>
      </c>
      <c r="L135" s="33"/>
      <c r="M135" s="136" t="s">
        <v>3</v>
      </c>
      <c r="N135" s="137" t="s">
        <v>48</v>
      </c>
      <c r="P135" s="138">
        <f>O135*H135</f>
        <v>0</v>
      </c>
      <c r="Q135" s="138">
        <v>0.0236305</v>
      </c>
      <c r="R135" s="138">
        <f>Q135*H135</f>
        <v>0.567132</v>
      </c>
      <c r="S135" s="138">
        <v>0</v>
      </c>
      <c r="T135" s="139">
        <f>S135*H135</f>
        <v>0</v>
      </c>
      <c r="AR135" s="140" t="s">
        <v>185</v>
      </c>
      <c r="AT135" s="140" t="s">
        <v>180</v>
      </c>
      <c r="AU135" s="140" t="s">
        <v>87</v>
      </c>
      <c r="AY135" s="18" t="s">
        <v>177</v>
      </c>
      <c r="BE135" s="141">
        <f>IF(N135="základní",J135,0)</f>
        <v>0</v>
      </c>
      <c r="BF135" s="141">
        <f>IF(N135="snížená",J135,0)</f>
        <v>0</v>
      </c>
      <c r="BG135" s="141">
        <f>IF(N135="zákl. přenesená",J135,0)</f>
        <v>0</v>
      </c>
      <c r="BH135" s="141">
        <f>IF(N135="sníž. přenesená",J135,0)</f>
        <v>0</v>
      </c>
      <c r="BI135" s="141">
        <f>IF(N135="nulová",J135,0)</f>
        <v>0</v>
      </c>
      <c r="BJ135" s="18" t="s">
        <v>85</v>
      </c>
      <c r="BK135" s="141">
        <f>ROUND(I135*H135,2)</f>
        <v>0</v>
      </c>
      <c r="BL135" s="18" t="s">
        <v>185</v>
      </c>
      <c r="BM135" s="140" t="s">
        <v>1610</v>
      </c>
    </row>
    <row r="136" spans="2:47" s="1" customFormat="1" ht="29.25">
      <c r="B136" s="33"/>
      <c r="D136" s="142" t="s">
        <v>187</v>
      </c>
      <c r="F136" s="143" t="s">
        <v>703</v>
      </c>
      <c r="I136" s="144"/>
      <c r="L136" s="33"/>
      <c r="M136" s="145"/>
      <c r="T136" s="54"/>
      <c r="AT136" s="18" t="s">
        <v>187</v>
      </c>
      <c r="AU136" s="18" t="s">
        <v>87</v>
      </c>
    </row>
    <row r="137" spans="2:47" s="1" customFormat="1" ht="11.25">
      <c r="B137" s="33"/>
      <c r="D137" s="146" t="s">
        <v>189</v>
      </c>
      <c r="F137" s="147" t="s">
        <v>704</v>
      </c>
      <c r="I137" s="144"/>
      <c r="L137" s="33"/>
      <c r="M137" s="145"/>
      <c r="T137" s="54"/>
      <c r="AT137" s="18" t="s">
        <v>189</v>
      </c>
      <c r="AU137" s="18" t="s">
        <v>87</v>
      </c>
    </row>
    <row r="138" spans="2:47" s="1" customFormat="1" ht="39">
      <c r="B138" s="33"/>
      <c r="D138" s="142" t="s">
        <v>191</v>
      </c>
      <c r="F138" s="148" t="s">
        <v>705</v>
      </c>
      <c r="I138" s="144"/>
      <c r="L138" s="33"/>
      <c r="M138" s="145"/>
      <c r="T138" s="54"/>
      <c r="AT138" s="18" t="s">
        <v>191</v>
      </c>
      <c r="AU138" s="18" t="s">
        <v>87</v>
      </c>
    </row>
    <row r="139" spans="2:51" s="12" customFormat="1" ht="11.25">
      <c r="B139" s="149"/>
      <c r="D139" s="142" t="s">
        <v>193</v>
      </c>
      <c r="E139" s="150" t="s">
        <v>3</v>
      </c>
      <c r="F139" s="151" t="s">
        <v>1611</v>
      </c>
      <c r="H139" s="152">
        <v>24</v>
      </c>
      <c r="I139" s="153"/>
      <c r="L139" s="149"/>
      <c r="M139" s="154"/>
      <c r="T139" s="155"/>
      <c r="AT139" s="150" t="s">
        <v>193</v>
      </c>
      <c r="AU139" s="150" t="s">
        <v>87</v>
      </c>
      <c r="AV139" s="12" t="s">
        <v>87</v>
      </c>
      <c r="AW139" s="12" t="s">
        <v>36</v>
      </c>
      <c r="AX139" s="12" t="s">
        <v>85</v>
      </c>
      <c r="AY139" s="150" t="s">
        <v>177</v>
      </c>
    </row>
    <row r="140" spans="2:65" s="1" customFormat="1" ht="37.9" customHeight="1">
      <c r="B140" s="128"/>
      <c r="C140" s="129" t="s">
        <v>265</v>
      </c>
      <c r="D140" s="129" t="s">
        <v>180</v>
      </c>
      <c r="E140" s="130" t="s">
        <v>706</v>
      </c>
      <c r="F140" s="131" t="s">
        <v>707</v>
      </c>
      <c r="G140" s="132" t="s">
        <v>476</v>
      </c>
      <c r="H140" s="133">
        <v>24</v>
      </c>
      <c r="I140" s="134"/>
      <c r="J140" s="135">
        <f>ROUND(I140*H140,2)</f>
        <v>0</v>
      </c>
      <c r="K140" s="131" t="s">
        <v>184</v>
      </c>
      <c r="L140" s="33"/>
      <c r="M140" s="136" t="s">
        <v>3</v>
      </c>
      <c r="N140" s="137" t="s">
        <v>48</v>
      </c>
      <c r="P140" s="138">
        <f>O140*H140</f>
        <v>0</v>
      </c>
      <c r="Q140" s="138">
        <v>0.0043225</v>
      </c>
      <c r="R140" s="138">
        <f>Q140*H140</f>
        <v>0.10374</v>
      </c>
      <c r="S140" s="138">
        <v>0</v>
      </c>
      <c r="T140" s="139">
        <f>S140*H140</f>
        <v>0</v>
      </c>
      <c r="AR140" s="140" t="s">
        <v>185</v>
      </c>
      <c r="AT140" s="140" t="s">
        <v>180</v>
      </c>
      <c r="AU140" s="140" t="s">
        <v>87</v>
      </c>
      <c r="AY140" s="18" t="s">
        <v>177</v>
      </c>
      <c r="BE140" s="141">
        <f>IF(N140="základní",J140,0)</f>
        <v>0</v>
      </c>
      <c r="BF140" s="141">
        <f>IF(N140="snížená",J140,0)</f>
        <v>0</v>
      </c>
      <c r="BG140" s="141">
        <f>IF(N140="zákl. přenesená",J140,0)</f>
        <v>0</v>
      </c>
      <c r="BH140" s="141">
        <f>IF(N140="sníž. přenesená",J140,0)</f>
        <v>0</v>
      </c>
      <c r="BI140" s="141">
        <f>IF(N140="nulová",J140,0)</f>
        <v>0</v>
      </c>
      <c r="BJ140" s="18" t="s">
        <v>85</v>
      </c>
      <c r="BK140" s="141">
        <f>ROUND(I140*H140,2)</f>
        <v>0</v>
      </c>
      <c r="BL140" s="18" t="s">
        <v>185</v>
      </c>
      <c r="BM140" s="140" t="s">
        <v>1612</v>
      </c>
    </row>
    <row r="141" spans="2:47" s="1" customFormat="1" ht="29.25">
      <c r="B141" s="33"/>
      <c r="D141" s="142" t="s">
        <v>187</v>
      </c>
      <c r="F141" s="143" t="s">
        <v>709</v>
      </c>
      <c r="I141" s="144"/>
      <c r="L141" s="33"/>
      <c r="M141" s="145"/>
      <c r="T141" s="54"/>
      <c r="AT141" s="18" t="s">
        <v>187</v>
      </c>
      <c r="AU141" s="18" t="s">
        <v>87</v>
      </c>
    </row>
    <row r="142" spans="2:47" s="1" customFormat="1" ht="11.25">
      <c r="B142" s="33"/>
      <c r="D142" s="146" t="s">
        <v>189</v>
      </c>
      <c r="F142" s="147" t="s">
        <v>710</v>
      </c>
      <c r="I142" s="144"/>
      <c r="L142" s="33"/>
      <c r="M142" s="145"/>
      <c r="T142" s="54"/>
      <c r="AT142" s="18" t="s">
        <v>189</v>
      </c>
      <c r="AU142" s="18" t="s">
        <v>87</v>
      </c>
    </row>
    <row r="143" spans="2:47" s="1" customFormat="1" ht="39">
      <c r="B143" s="33"/>
      <c r="D143" s="142" t="s">
        <v>191</v>
      </c>
      <c r="F143" s="148" t="s">
        <v>705</v>
      </c>
      <c r="I143" s="144"/>
      <c r="L143" s="33"/>
      <c r="M143" s="145"/>
      <c r="T143" s="54"/>
      <c r="AT143" s="18" t="s">
        <v>191</v>
      </c>
      <c r="AU143" s="18" t="s">
        <v>87</v>
      </c>
    </row>
    <row r="144" spans="2:65" s="1" customFormat="1" ht="33" customHeight="1">
      <c r="B144" s="128"/>
      <c r="C144" s="129" t="s">
        <v>271</v>
      </c>
      <c r="D144" s="129" t="s">
        <v>180</v>
      </c>
      <c r="E144" s="130" t="s">
        <v>823</v>
      </c>
      <c r="F144" s="131" t="s">
        <v>824</v>
      </c>
      <c r="G144" s="132" t="s">
        <v>476</v>
      </c>
      <c r="H144" s="133">
        <v>134.56</v>
      </c>
      <c r="I144" s="134"/>
      <c r="J144" s="135">
        <f>ROUND(I144*H144,2)</f>
        <v>0</v>
      </c>
      <c r="K144" s="131" t="s">
        <v>184</v>
      </c>
      <c r="L144" s="33"/>
      <c r="M144" s="136" t="s">
        <v>3</v>
      </c>
      <c r="N144" s="137" t="s">
        <v>48</v>
      </c>
      <c r="P144" s="138">
        <f>O144*H144</f>
        <v>0</v>
      </c>
      <c r="Q144" s="138">
        <v>0.0002009</v>
      </c>
      <c r="R144" s="138">
        <f>Q144*H144</f>
        <v>0.027033104000000002</v>
      </c>
      <c r="S144" s="138">
        <v>0</v>
      </c>
      <c r="T144" s="139">
        <f>S144*H144</f>
        <v>0</v>
      </c>
      <c r="AR144" s="140" t="s">
        <v>185</v>
      </c>
      <c r="AT144" s="140" t="s">
        <v>180</v>
      </c>
      <c r="AU144" s="140" t="s">
        <v>87</v>
      </c>
      <c r="AY144" s="18" t="s">
        <v>177</v>
      </c>
      <c r="BE144" s="141">
        <f>IF(N144="základní",J144,0)</f>
        <v>0</v>
      </c>
      <c r="BF144" s="141">
        <f>IF(N144="snížená",J144,0)</f>
        <v>0</v>
      </c>
      <c r="BG144" s="141">
        <f>IF(N144="zákl. přenesená",J144,0)</f>
        <v>0</v>
      </c>
      <c r="BH144" s="141">
        <f>IF(N144="sníž. přenesená",J144,0)</f>
        <v>0</v>
      </c>
      <c r="BI144" s="141">
        <f>IF(N144="nulová",J144,0)</f>
        <v>0</v>
      </c>
      <c r="BJ144" s="18" t="s">
        <v>85</v>
      </c>
      <c r="BK144" s="141">
        <f>ROUND(I144*H144,2)</f>
        <v>0</v>
      </c>
      <c r="BL144" s="18" t="s">
        <v>185</v>
      </c>
      <c r="BM144" s="140" t="s">
        <v>1613</v>
      </c>
    </row>
    <row r="145" spans="2:47" s="1" customFormat="1" ht="29.25">
      <c r="B145" s="33"/>
      <c r="D145" s="142" t="s">
        <v>187</v>
      </c>
      <c r="F145" s="143" t="s">
        <v>826</v>
      </c>
      <c r="I145" s="144"/>
      <c r="L145" s="33"/>
      <c r="M145" s="145"/>
      <c r="T145" s="54"/>
      <c r="AT145" s="18" t="s">
        <v>187</v>
      </c>
      <c r="AU145" s="18" t="s">
        <v>87</v>
      </c>
    </row>
    <row r="146" spans="2:47" s="1" customFormat="1" ht="11.25">
      <c r="B146" s="33"/>
      <c r="D146" s="146" t="s">
        <v>189</v>
      </c>
      <c r="F146" s="147" t="s">
        <v>827</v>
      </c>
      <c r="I146" s="144"/>
      <c r="L146" s="33"/>
      <c r="M146" s="145"/>
      <c r="T146" s="54"/>
      <c r="AT146" s="18" t="s">
        <v>189</v>
      </c>
      <c r="AU146" s="18" t="s">
        <v>87</v>
      </c>
    </row>
    <row r="147" spans="2:47" s="1" customFormat="1" ht="97.5">
      <c r="B147" s="33"/>
      <c r="D147" s="142" t="s">
        <v>191</v>
      </c>
      <c r="F147" s="148" t="s">
        <v>821</v>
      </c>
      <c r="I147" s="144"/>
      <c r="L147" s="33"/>
      <c r="M147" s="145"/>
      <c r="T147" s="54"/>
      <c r="AT147" s="18" t="s">
        <v>191</v>
      </c>
      <c r="AU147" s="18" t="s">
        <v>87</v>
      </c>
    </row>
    <row r="148" spans="2:51" s="13" customFormat="1" ht="11.25">
      <c r="B148" s="156"/>
      <c r="D148" s="142" t="s">
        <v>193</v>
      </c>
      <c r="E148" s="157" t="s">
        <v>3</v>
      </c>
      <c r="F148" s="158" t="s">
        <v>1614</v>
      </c>
      <c r="H148" s="157" t="s">
        <v>3</v>
      </c>
      <c r="I148" s="159"/>
      <c r="L148" s="156"/>
      <c r="M148" s="160"/>
      <c r="T148" s="161"/>
      <c r="AT148" s="157" t="s">
        <v>193</v>
      </c>
      <c r="AU148" s="157" t="s">
        <v>87</v>
      </c>
      <c r="AV148" s="13" t="s">
        <v>85</v>
      </c>
      <c r="AW148" s="13" t="s">
        <v>36</v>
      </c>
      <c r="AX148" s="13" t="s">
        <v>77</v>
      </c>
      <c r="AY148" s="157" t="s">
        <v>177</v>
      </c>
    </row>
    <row r="149" spans="2:51" s="12" customFormat="1" ht="11.25">
      <c r="B149" s="149"/>
      <c r="D149" s="142" t="s">
        <v>193</v>
      </c>
      <c r="E149" s="150" t="s">
        <v>3</v>
      </c>
      <c r="F149" s="151" t="s">
        <v>1615</v>
      </c>
      <c r="H149" s="152">
        <v>17.52</v>
      </c>
      <c r="I149" s="153"/>
      <c r="L149" s="149"/>
      <c r="M149" s="154"/>
      <c r="T149" s="155"/>
      <c r="AT149" s="150" t="s">
        <v>193</v>
      </c>
      <c r="AU149" s="150" t="s">
        <v>87</v>
      </c>
      <c r="AV149" s="12" t="s">
        <v>87</v>
      </c>
      <c r="AW149" s="12" t="s">
        <v>36</v>
      </c>
      <c r="AX149" s="12" t="s">
        <v>77</v>
      </c>
      <c r="AY149" s="150" t="s">
        <v>177</v>
      </c>
    </row>
    <row r="150" spans="2:51" s="13" customFormat="1" ht="11.25">
      <c r="B150" s="156"/>
      <c r="D150" s="142" t="s">
        <v>193</v>
      </c>
      <c r="E150" s="157" t="s">
        <v>3</v>
      </c>
      <c r="F150" s="158" t="s">
        <v>1616</v>
      </c>
      <c r="H150" s="157" t="s">
        <v>3</v>
      </c>
      <c r="I150" s="159"/>
      <c r="L150" s="156"/>
      <c r="M150" s="160"/>
      <c r="T150" s="161"/>
      <c r="AT150" s="157" t="s">
        <v>193</v>
      </c>
      <c r="AU150" s="157" t="s">
        <v>87</v>
      </c>
      <c r="AV150" s="13" t="s">
        <v>85</v>
      </c>
      <c r="AW150" s="13" t="s">
        <v>36</v>
      </c>
      <c r="AX150" s="13" t="s">
        <v>77</v>
      </c>
      <c r="AY150" s="157" t="s">
        <v>177</v>
      </c>
    </row>
    <row r="151" spans="2:51" s="12" customFormat="1" ht="11.25">
      <c r="B151" s="149"/>
      <c r="D151" s="142" t="s">
        <v>193</v>
      </c>
      <c r="E151" s="150" t="s">
        <v>3</v>
      </c>
      <c r="F151" s="151" t="s">
        <v>1617</v>
      </c>
      <c r="H151" s="152">
        <v>117.04</v>
      </c>
      <c r="I151" s="153"/>
      <c r="L151" s="149"/>
      <c r="M151" s="154"/>
      <c r="T151" s="155"/>
      <c r="AT151" s="150" t="s">
        <v>193</v>
      </c>
      <c r="AU151" s="150" t="s">
        <v>87</v>
      </c>
      <c r="AV151" s="12" t="s">
        <v>87</v>
      </c>
      <c r="AW151" s="12" t="s">
        <v>36</v>
      </c>
      <c r="AX151" s="12" t="s">
        <v>77</v>
      </c>
      <c r="AY151" s="150" t="s">
        <v>177</v>
      </c>
    </row>
    <row r="152" spans="2:51" s="15" customFormat="1" ht="11.25">
      <c r="B152" s="169"/>
      <c r="D152" s="142" t="s">
        <v>193</v>
      </c>
      <c r="E152" s="170" t="s">
        <v>3</v>
      </c>
      <c r="F152" s="171" t="s">
        <v>201</v>
      </c>
      <c r="H152" s="172">
        <v>134.56</v>
      </c>
      <c r="I152" s="173"/>
      <c r="L152" s="169"/>
      <c r="M152" s="174"/>
      <c r="T152" s="175"/>
      <c r="AT152" s="170" t="s">
        <v>193</v>
      </c>
      <c r="AU152" s="170" t="s">
        <v>87</v>
      </c>
      <c r="AV152" s="15" t="s">
        <v>185</v>
      </c>
      <c r="AW152" s="15" t="s">
        <v>36</v>
      </c>
      <c r="AX152" s="15" t="s">
        <v>85</v>
      </c>
      <c r="AY152" s="170" t="s">
        <v>177</v>
      </c>
    </row>
    <row r="153" spans="2:63" s="11" customFormat="1" ht="22.9" customHeight="1">
      <c r="B153" s="116"/>
      <c r="D153" s="117" t="s">
        <v>76</v>
      </c>
      <c r="E153" s="126" t="s">
        <v>178</v>
      </c>
      <c r="F153" s="126" t="s">
        <v>179</v>
      </c>
      <c r="I153" s="119"/>
      <c r="J153" s="127">
        <f>BK153</f>
        <v>0</v>
      </c>
      <c r="L153" s="116"/>
      <c r="M153" s="121"/>
      <c r="P153" s="122">
        <f>SUM(P154:P175)</f>
        <v>0</v>
      </c>
      <c r="R153" s="122">
        <f>SUM(R154:R175)</f>
        <v>0</v>
      </c>
      <c r="T153" s="123">
        <f>SUM(T154:T175)</f>
        <v>0</v>
      </c>
      <c r="AR153" s="117" t="s">
        <v>85</v>
      </c>
      <c r="AT153" s="124" t="s">
        <v>76</v>
      </c>
      <c r="AU153" s="124" t="s">
        <v>85</v>
      </c>
      <c r="AY153" s="117" t="s">
        <v>177</v>
      </c>
      <c r="BK153" s="125">
        <f>SUM(BK154:BK175)</f>
        <v>0</v>
      </c>
    </row>
    <row r="154" spans="2:65" s="1" customFormat="1" ht="24.2" customHeight="1">
      <c r="B154" s="128"/>
      <c r="C154" s="129" t="s">
        <v>277</v>
      </c>
      <c r="D154" s="129" t="s">
        <v>180</v>
      </c>
      <c r="E154" s="130" t="s">
        <v>181</v>
      </c>
      <c r="F154" s="131" t="s">
        <v>182</v>
      </c>
      <c r="G154" s="132" t="s">
        <v>183</v>
      </c>
      <c r="H154" s="133">
        <v>11.839</v>
      </c>
      <c r="I154" s="134"/>
      <c r="J154" s="135">
        <f>ROUND(I154*H154,2)</f>
        <v>0</v>
      </c>
      <c r="K154" s="131" t="s">
        <v>184</v>
      </c>
      <c r="L154" s="33"/>
      <c r="M154" s="136" t="s">
        <v>3</v>
      </c>
      <c r="N154" s="137" t="s">
        <v>48</v>
      </c>
      <c r="P154" s="138">
        <f>O154*H154</f>
        <v>0</v>
      </c>
      <c r="Q154" s="138">
        <v>0</v>
      </c>
      <c r="R154" s="138">
        <f>Q154*H154</f>
        <v>0</v>
      </c>
      <c r="S154" s="138">
        <v>0</v>
      </c>
      <c r="T154" s="139">
        <f>S154*H154</f>
        <v>0</v>
      </c>
      <c r="AR154" s="140" t="s">
        <v>185</v>
      </c>
      <c r="AT154" s="140" t="s">
        <v>180</v>
      </c>
      <c r="AU154" s="140" t="s">
        <v>87</v>
      </c>
      <c r="AY154" s="18" t="s">
        <v>177</v>
      </c>
      <c r="BE154" s="141">
        <f>IF(N154="základní",J154,0)</f>
        <v>0</v>
      </c>
      <c r="BF154" s="141">
        <f>IF(N154="snížená",J154,0)</f>
        <v>0</v>
      </c>
      <c r="BG154" s="141">
        <f>IF(N154="zákl. přenesená",J154,0)</f>
        <v>0</v>
      </c>
      <c r="BH154" s="141">
        <f>IF(N154="sníž. přenesená",J154,0)</f>
        <v>0</v>
      </c>
      <c r="BI154" s="141">
        <f>IF(N154="nulová",J154,0)</f>
        <v>0</v>
      </c>
      <c r="BJ154" s="18" t="s">
        <v>85</v>
      </c>
      <c r="BK154" s="141">
        <f>ROUND(I154*H154,2)</f>
        <v>0</v>
      </c>
      <c r="BL154" s="18" t="s">
        <v>185</v>
      </c>
      <c r="BM154" s="140" t="s">
        <v>1618</v>
      </c>
    </row>
    <row r="155" spans="2:47" s="1" customFormat="1" ht="19.5">
      <c r="B155" s="33"/>
      <c r="D155" s="142" t="s">
        <v>187</v>
      </c>
      <c r="F155" s="143" t="s">
        <v>188</v>
      </c>
      <c r="I155" s="144"/>
      <c r="L155" s="33"/>
      <c r="M155" s="145"/>
      <c r="T155" s="54"/>
      <c r="AT155" s="18" t="s">
        <v>187</v>
      </c>
      <c r="AU155" s="18" t="s">
        <v>87</v>
      </c>
    </row>
    <row r="156" spans="2:47" s="1" customFormat="1" ht="11.25">
      <c r="B156" s="33"/>
      <c r="D156" s="146" t="s">
        <v>189</v>
      </c>
      <c r="F156" s="147" t="s">
        <v>190</v>
      </c>
      <c r="I156" s="144"/>
      <c r="L156" s="33"/>
      <c r="M156" s="145"/>
      <c r="T156" s="54"/>
      <c r="AT156" s="18" t="s">
        <v>189</v>
      </c>
      <c r="AU156" s="18" t="s">
        <v>87</v>
      </c>
    </row>
    <row r="157" spans="2:47" s="1" customFormat="1" ht="146.25">
      <c r="B157" s="33"/>
      <c r="D157" s="142" t="s">
        <v>191</v>
      </c>
      <c r="F157" s="148" t="s">
        <v>192</v>
      </c>
      <c r="I157" s="144"/>
      <c r="L157" s="33"/>
      <c r="M157" s="145"/>
      <c r="T157" s="54"/>
      <c r="AT157" s="18" t="s">
        <v>191</v>
      </c>
      <c r="AU157" s="18" t="s">
        <v>87</v>
      </c>
    </row>
    <row r="158" spans="2:65" s="1" customFormat="1" ht="33" customHeight="1">
      <c r="B158" s="128"/>
      <c r="C158" s="129" t="s">
        <v>283</v>
      </c>
      <c r="D158" s="129" t="s">
        <v>180</v>
      </c>
      <c r="E158" s="130" t="s">
        <v>202</v>
      </c>
      <c r="F158" s="131" t="s">
        <v>203</v>
      </c>
      <c r="G158" s="132" t="s">
        <v>183</v>
      </c>
      <c r="H158" s="133">
        <v>23.678</v>
      </c>
      <c r="I158" s="134"/>
      <c r="J158" s="135">
        <f>ROUND(I158*H158,2)</f>
        <v>0</v>
      </c>
      <c r="K158" s="131" t="s">
        <v>184</v>
      </c>
      <c r="L158" s="33"/>
      <c r="M158" s="136" t="s">
        <v>3</v>
      </c>
      <c r="N158" s="137" t="s">
        <v>48</v>
      </c>
      <c r="P158" s="138">
        <f>O158*H158</f>
        <v>0</v>
      </c>
      <c r="Q158" s="138">
        <v>0</v>
      </c>
      <c r="R158" s="138">
        <f>Q158*H158</f>
        <v>0</v>
      </c>
      <c r="S158" s="138">
        <v>0</v>
      </c>
      <c r="T158" s="139">
        <f>S158*H158</f>
        <v>0</v>
      </c>
      <c r="AR158" s="140" t="s">
        <v>185</v>
      </c>
      <c r="AT158" s="140" t="s">
        <v>180</v>
      </c>
      <c r="AU158" s="140" t="s">
        <v>87</v>
      </c>
      <c r="AY158" s="18" t="s">
        <v>177</v>
      </c>
      <c r="BE158" s="141">
        <f>IF(N158="základní",J158,0)</f>
        <v>0</v>
      </c>
      <c r="BF158" s="141">
        <f>IF(N158="snížená",J158,0)</f>
        <v>0</v>
      </c>
      <c r="BG158" s="141">
        <f>IF(N158="zákl. přenesená",J158,0)</f>
        <v>0</v>
      </c>
      <c r="BH158" s="141">
        <f>IF(N158="sníž. přenesená",J158,0)</f>
        <v>0</v>
      </c>
      <c r="BI158" s="141">
        <f>IF(N158="nulová",J158,0)</f>
        <v>0</v>
      </c>
      <c r="BJ158" s="18" t="s">
        <v>85</v>
      </c>
      <c r="BK158" s="141">
        <f>ROUND(I158*H158,2)</f>
        <v>0</v>
      </c>
      <c r="BL158" s="18" t="s">
        <v>185</v>
      </c>
      <c r="BM158" s="140" t="s">
        <v>1619</v>
      </c>
    </row>
    <row r="159" spans="2:47" s="1" customFormat="1" ht="39">
      <c r="B159" s="33"/>
      <c r="D159" s="142" t="s">
        <v>187</v>
      </c>
      <c r="F159" s="143" t="s">
        <v>205</v>
      </c>
      <c r="I159" s="144"/>
      <c r="L159" s="33"/>
      <c r="M159" s="145"/>
      <c r="T159" s="54"/>
      <c r="AT159" s="18" t="s">
        <v>187</v>
      </c>
      <c r="AU159" s="18" t="s">
        <v>87</v>
      </c>
    </row>
    <row r="160" spans="2:47" s="1" customFormat="1" ht="11.25">
      <c r="B160" s="33"/>
      <c r="D160" s="146" t="s">
        <v>189</v>
      </c>
      <c r="F160" s="147" t="s">
        <v>206</v>
      </c>
      <c r="I160" s="144"/>
      <c r="L160" s="33"/>
      <c r="M160" s="145"/>
      <c r="T160" s="54"/>
      <c r="AT160" s="18" t="s">
        <v>189</v>
      </c>
      <c r="AU160" s="18" t="s">
        <v>87</v>
      </c>
    </row>
    <row r="161" spans="2:47" s="1" customFormat="1" ht="146.25">
      <c r="B161" s="33"/>
      <c r="D161" s="142" t="s">
        <v>191</v>
      </c>
      <c r="F161" s="148" t="s">
        <v>192</v>
      </c>
      <c r="I161" s="144"/>
      <c r="L161" s="33"/>
      <c r="M161" s="145"/>
      <c r="T161" s="54"/>
      <c r="AT161" s="18" t="s">
        <v>191</v>
      </c>
      <c r="AU161" s="18" t="s">
        <v>87</v>
      </c>
    </row>
    <row r="162" spans="2:51" s="12" customFormat="1" ht="11.25">
      <c r="B162" s="149"/>
      <c r="D162" s="142" t="s">
        <v>193</v>
      </c>
      <c r="F162" s="151" t="s">
        <v>1620</v>
      </c>
      <c r="H162" s="152">
        <v>23.678</v>
      </c>
      <c r="I162" s="153"/>
      <c r="L162" s="149"/>
      <c r="M162" s="154"/>
      <c r="T162" s="155"/>
      <c r="AT162" s="150" t="s">
        <v>193</v>
      </c>
      <c r="AU162" s="150" t="s">
        <v>87</v>
      </c>
      <c r="AV162" s="12" t="s">
        <v>87</v>
      </c>
      <c r="AW162" s="12" t="s">
        <v>4</v>
      </c>
      <c r="AX162" s="12" t="s">
        <v>85</v>
      </c>
      <c r="AY162" s="150" t="s">
        <v>177</v>
      </c>
    </row>
    <row r="163" spans="2:65" s="1" customFormat="1" ht="24.2" customHeight="1">
      <c r="B163" s="128"/>
      <c r="C163" s="129" t="s">
        <v>9</v>
      </c>
      <c r="D163" s="129" t="s">
        <v>180</v>
      </c>
      <c r="E163" s="130" t="s">
        <v>208</v>
      </c>
      <c r="F163" s="131" t="s">
        <v>209</v>
      </c>
      <c r="G163" s="132" t="s">
        <v>183</v>
      </c>
      <c r="H163" s="133">
        <v>11.839</v>
      </c>
      <c r="I163" s="134"/>
      <c r="J163" s="135">
        <f>ROUND(I163*H163,2)</f>
        <v>0</v>
      </c>
      <c r="K163" s="131" t="s">
        <v>184</v>
      </c>
      <c r="L163" s="33"/>
      <c r="M163" s="136" t="s">
        <v>3</v>
      </c>
      <c r="N163" s="137" t="s">
        <v>48</v>
      </c>
      <c r="P163" s="138">
        <f>O163*H163</f>
        <v>0</v>
      </c>
      <c r="Q163" s="138">
        <v>0</v>
      </c>
      <c r="R163" s="138">
        <f>Q163*H163</f>
        <v>0</v>
      </c>
      <c r="S163" s="138">
        <v>0</v>
      </c>
      <c r="T163" s="139">
        <f>S163*H163</f>
        <v>0</v>
      </c>
      <c r="AR163" s="140" t="s">
        <v>185</v>
      </c>
      <c r="AT163" s="140" t="s">
        <v>180</v>
      </c>
      <c r="AU163" s="140" t="s">
        <v>87</v>
      </c>
      <c r="AY163" s="18" t="s">
        <v>177</v>
      </c>
      <c r="BE163" s="141">
        <f>IF(N163="základní",J163,0)</f>
        <v>0</v>
      </c>
      <c r="BF163" s="141">
        <f>IF(N163="snížená",J163,0)</f>
        <v>0</v>
      </c>
      <c r="BG163" s="141">
        <f>IF(N163="zákl. přenesená",J163,0)</f>
        <v>0</v>
      </c>
      <c r="BH163" s="141">
        <f>IF(N163="sníž. přenesená",J163,0)</f>
        <v>0</v>
      </c>
      <c r="BI163" s="141">
        <f>IF(N163="nulová",J163,0)</f>
        <v>0</v>
      </c>
      <c r="BJ163" s="18" t="s">
        <v>85</v>
      </c>
      <c r="BK163" s="141">
        <f>ROUND(I163*H163,2)</f>
        <v>0</v>
      </c>
      <c r="BL163" s="18" t="s">
        <v>185</v>
      </c>
      <c r="BM163" s="140" t="s">
        <v>1621</v>
      </c>
    </row>
    <row r="164" spans="2:47" s="1" customFormat="1" ht="19.5">
      <c r="B164" s="33"/>
      <c r="D164" s="142" t="s">
        <v>187</v>
      </c>
      <c r="F164" s="143" t="s">
        <v>211</v>
      </c>
      <c r="I164" s="144"/>
      <c r="L164" s="33"/>
      <c r="M164" s="145"/>
      <c r="T164" s="54"/>
      <c r="AT164" s="18" t="s">
        <v>187</v>
      </c>
      <c r="AU164" s="18" t="s">
        <v>87</v>
      </c>
    </row>
    <row r="165" spans="2:47" s="1" customFormat="1" ht="11.25">
      <c r="B165" s="33"/>
      <c r="D165" s="146" t="s">
        <v>189</v>
      </c>
      <c r="F165" s="147" t="s">
        <v>212</v>
      </c>
      <c r="I165" s="144"/>
      <c r="L165" s="33"/>
      <c r="M165" s="145"/>
      <c r="T165" s="54"/>
      <c r="AT165" s="18" t="s">
        <v>189</v>
      </c>
      <c r="AU165" s="18" t="s">
        <v>87</v>
      </c>
    </row>
    <row r="166" spans="2:47" s="1" customFormat="1" ht="97.5">
      <c r="B166" s="33"/>
      <c r="D166" s="142" t="s">
        <v>191</v>
      </c>
      <c r="F166" s="148" t="s">
        <v>213</v>
      </c>
      <c r="I166" s="144"/>
      <c r="L166" s="33"/>
      <c r="M166" s="145"/>
      <c r="T166" s="54"/>
      <c r="AT166" s="18" t="s">
        <v>191</v>
      </c>
      <c r="AU166" s="18" t="s">
        <v>87</v>
      </c>
    </row>
    <row r="167" spans="2:65" s="1" customFormat="1" ht="24.2" customHeight="1">
      <c r="B167" s="128"/>
      <c r="C167" s="129" t="s">
        <v>237</v>
      </c>
      <c r="D167" s="129" t="s">
        <v>180</v>
      </c>
      <c r="E167" s="130" t="s">
        <v>214</v>
      </c>
      <c r="F167" s="131" t="s">
        <v>215</v>
      </c>
      <c r="G167" s="132" t="s">
        <v>183</v>
      </c>
      <c r="H167" s="133">
        <v>224.941</v>
      </c>
      <c r="I167" s="134"/>
      <c r="J167" s="135">
        <f>ROUND(I167*H167,2)</f>
        <v>0</v>
      </c>
      <c r="K167" s="131" t="s">
        <v>184</v>
      </c>
      <c r="L167" s="33"/>
      <c r="M167" s="136" t="s">
        <v>3</v>
      </c>
      <c r="N167" s="137" t="s">
        <v>48</v>
      </c>
      <c r="P167" s="138">
        <f>O167*H167</f>
        <v>0</v>
      </c>
      <c r="Q167" s="138">
        <v>0</v>
      </c>
      <c r="R167" s="138">
        <f>Q167*H167</f>
        <v>0</v>
      </c>
      <c r="S167" s="138">
        <v>0</v>
      </c>
      <c r="T167" s="139">
        <f>S167*H167</f>
        <v>0</v>
      </c>
      <c r="AR167" s="140" t="s">
        <v>185</v>
      </c>
      <c r="AT167" s="140" t="s">
        <v>180</v>
      </c>
      <c r="AU167" s="140" t="s">
        <v>87</v>
      </c>
      <c r="AY167" s="18" t="s">
        <v>177</v>
      </c>
      <c r="BE167" s="141">
        <f>IF(N167="základní",J167,0)</f>
        <v>0</v>
      </c>
      <c r="BF167" s="141">
        <f>IF(N167="snížená",J167,0)</f>
        <v>0</v>
      </c>
      <c r="BG167" s="141">
        <f>IF(N167="zákl. přenesená",J167,0)</f>
        <v>0</v>
      </c>
      <c r="BH167" s="141">
        <f>IF(N167="sníž. přenesená",J167,0)</f>
        <v>0</v>
      </c>
      <c r="BI167" s="141">
        <f>IF(N167="nulová",J167,0)</f>
        <v>0</v>
      </c>
      <c r="BJ167" s="18" t="s">
        <v>85</v>
      </c>
      <c r="BK167" s="141">
        <f>ROUND(I167*H167,2)</f>
        <v>0</v>
      </c>
      <c r="BL167" s="18" t="s">
        <v>185</v>
      </c>
      <c r="BM167" s="140" t="s">
        <v>1622</v>
      </c>
    </row>
    <row r="168" spans="2:47" s="1" customFormat="1" ht="29.25">
      <c r="B168" s="33"/>
      <c r="D168" s="142" t="s">
        <v>187</v>
      </c>
      <c r="F168" s="143" t="s">
        <v>217</v>
      </c>
      <c r="I168" s="144"/>
      <c r="L168" s="33"/>
      <c r="M168" s="145"/>
      <c r="T168" s="54"/>
      <c r="AT168" s="18" t="s">
        <v>187</v>
      </c>
      <c r="AU168" s="18" t="s">
        <v>87</v>
      </c>
    </row>
    <row r="169" spans="2:47" s="1" customFormat="1" ht="11.25">
      <c r="B169" s="33"/>
      <c r="D169" s="146" t="s">
        <v>189</v>
      </c>
      <c r="F169" s="147" t="s">
        <v>218</v>
      </c>
      <c r="I169" s="144"/>
      <c r="L169" s="33"/>
      <c r="M169" s="145"/>
      <c r="T169" s="54"/>
      <c r="AT169" s="18" t="s">
        <v>189</v>
      </c>
      <c r="AU169" s="18" t="s">
        <v>87</v>
      </c>
    </row>
    <row r="170" spans="2:47" s="1" customFormat="1" ht="97.5">
      <c r="B170" s="33"/>
      <c r="D170" s="142" t="s">
        <v>191</v>
      </c>
      <c r="F170" s="148" t="s">
        <v>213</v>
      </c>
      <c r="I170" s="144"/>
      <c r="L170" s="33"/>
      <c r="M170" s="145"/>
      <c r="T170" s="54"/>
      <c r="AT170" s="18" t="s">
        <v>191</v>
      </c>
      <c r="AU170" s="18" t="s">
        <v>87</v>
      </c>
    </row>
    <row r="171" spans="2:51" s="12" customFormat="1" ht="11.25">
      <c r="B171" s="149"/>
      <c r="D171" s="142" t="s">
        <v>193</v>
      </c>
      <c r="F171" s="151" t="s">
        <v>1623</v>
      </c>
      <c r="H171" s="152">
        <v>224.941</v>
      </c>
      <c r="I171" s="153"/>
      <c r="L171" s="149"/>
      <c r="M171" s="154"/>
      <c r="T171" s="155"/>
      <c r="AT171" s="150" t="s">
        <v>193</v>
      </c>
      <c r="AU171" s="150" t="s">
        <v>87</v>
      </c>
      <c r="AV171" s="12" t="s">
        <v>87</v>
      </c>
      <c r="AW171" s="12" t="s">
        <v>4</v>
      </c>
      <c r="AX171" s="12" t="s">
        <v>85</v>
      </c>
      <c r="AY171" s="150" t="s">
        <v>177</v>
      </c>
    </row>
    <row r="172" spans="2:65" s="1" customFormat="1" ht="44.25" customHeight="1">
      <c r="B172" s="128"/>
      <c r="C172" s="129" t="s">
        <v>302</v>
      </c>
      <c r="D172" s="129" t="s">
        <v>180</v>
      </c>
      <c r="E172" s="130" t="s">
        <v>223</v>
      </c>
      <c r="F172" s="131" t="s">
        <v>224</v>
      </c>
      <c r="G172" s="132" t="s">
        <v>183</v>
      </c>
      <c r="H172" s="133">
        <v>11.839</v>
      </c>
      <c r="I172" s="134"/>
      <c r="J172" s="135">
        <f>ROUND(I172*H172,2)</f>
        <v>0</v>
      </c>
      <c r="K172" s="131" t="s">
        <v>184</v>
      </c>
      <c r="L172" s="33"/>
      <c r="M172" s="136" t="s">
        <v>3</v>
      </c>
      <c r="N172" s="137" t="s">
        <v>48</v>
      </c>
      <c r="P172" s="138">
        <f>O172*H172</f>
        <v>0</v>
      </c>
      <c r="Q172" s="138">
        <v>0</v>
      </c>
      <c r="R172" s="138">
        <f>Q172*H172</f>
        <v>0</v>
      </c>
      <c r="S172" s="138">
        <v>0</v>
      </c>
      <c r="T172" s="139">
        <f>S172*H172</f>
        <v>0</v>
      </c>
      <c r="AR172" s="140" t="s">
        <v>185</v>
      </c>
      <c r="AT172" s="140" t="s">
        <v>180</v>
      </c>
      <c r="AU172" s="140" t="s">
        <v>87</v>
      </c>
      <c r="AY172" s="18" t="s">
        <v>177</v>
      </c>
      <c r="BE172" s="141">
        <f>IF(N172="základní",J172,0)</f>
        <v>0</v>
      </c>
      <c r="BF172" s="141">
        <f>IF(N172="snížená",J172,0)</f>
        <v>0</v>
      </c>
      <c r="BG172" s="141">
        <f>IF(N172="zákl. přenesená",J172,0)</f>
        <v>0</v>
      </c>
      <c r="BH172" s="141">
        <f>IF(N172="sníž. přenesená",J172,0)</f>
        <v>0</v>
      </c>
      <c r="BI172" s="141">
        <f>IF(N172="nulová",J172,0)</f>
        <v>0</v>
      </c>
      <c r="BJ172" s="18" t="s">
        <v>85</v>
      </c>
      <c r="BK172" s="141">
        <f>ROUND(I172*H172,2)</f>
        <v>0</v>
      </c>
      <c r="BL172" s="18" t="s">
        <v>185</v>
      </c>
      <c r="BM172" s="140" t="s">
        <v>1624</v>
      </c>
    </row>
    <row r="173" spans="2:47" s="1" customFormat="1" ht="29.25">
      <c r="B173" s="33"/>
      <c r="D173" s="142" t="s">
        <v>187</v>
      </c>
      <c r="F173" s="143" t="s">
        <v>226</v>
      </c>
      <c r="I173" s="144"/>
      <c r="L173" s="33"/>
      <c r="M173" s="145"/>
      <c r="T173" s="54"/>
      <c r="AT173" s="18" t="s">
        <v>187</v>
      </c>
      <c r="AU173" s="18" t="s">
        <v>87</v>
      </c>
    </row>
    <row r="174" spans="2:47" s="1" customFormat="1" ht="11.25">
      <c r="B174" s="33"/>
      <c r="D174" s="146" t="s">
        <v>189</v>
      </c>
      <c r="F174" s="147" t="s">
        <v>227</v>
      </c>
      <c r="I174" s="144"/>
      <c r="L174" s="33"/>
      <c r="M174" s="145"/>
      <c r="T174" s="54"/>
      <c r="AT174" s="18" t="s">
        <v>189</v>
      </c>
      <c r="AU174" s="18" t="s">
        <v>87</v>
      </c>
    </row>
    <row r="175" spans="2:47" s="1" customFormat="1" ht="58.5">
      <c r="B175" s="33"/>
      <c r="D175" s="142" t="s">
        <v>191</v>
      </c>
      <c r="F175" s="148" t="s">
        <v>228</v>
      </c>
      <c r="I175" s="144"/>
      <c r="L175" s="33"/>
      <c r="M175" s="145"/>
      <c r="T175" s="54"/>
      <c r="AT175" s="18" t="s">
        <v>191</v>
      </c>
      <c r="AU175" s="18" t="s">
        <v>87</v>
      </c>
    </row>
    <row r="176" spans="2:63" s="11" customFormat="1" ht="22.9" customHeight="1">
      <c r="B176" s="116"/>
      <c r="D176" s="117" t="s">
        <v>76</v>
      </c>
      <c r="E176" s="126" t="s">
        <v>518</v>
      </c>
      <c r="F176" s="126" t="s">
        <v>519</v>
      </c>
      <c r="I176" s="119"/>
      <c r="J176" s="127">
        <f>BK176</f>
        <v>0</v>
      </c>
      <c r="L176" s="116"/>
      <c r="M176" s="121"/>
      <c r="P176" s="122">
        <f>SUM(P177:P180)</f>
        <v>0</v>
      </c>
      <c r="R176" s="122">
        <f>SUM(R177:R180)</f>
        <v>0</v>
      </c>
      <c r="T176" s="123">
        <f>SUM(T177:T180)</f>
        <v>0</v>
      </c>
      <c r="AR176" s="117" t="s">
        <v>85</v>
      </c>
      <c r="AT176" s="124" t="s">
        <v>76</v>
      </c>
      <c r="AU176" s="124" t="s">
        <v>85</v>
      </c>
      <c r="AY176" s="117" t="s">
        <v>177</v>
      </c>
      <c r="BK176" s="125">
        <f>SUM(BK177:BK180)</f>
        <v>0</v>
      </c>
    </row>
    <row r="177" spans="2:65" s="1" customFormat="1" ht="21.75" customHeight="1">
      <c r="B177" s="128"/>
      <c r="C177" s="129" t="s">
        <v>315</v>
      </c>
      <c r="D177" s="129" t="s">
        <v>180</v>
      </c>
      <c r="E177" s="130" t="s">
        <v>521</v>
      </c>
      <c r="F177" s="131" t="s">
        <v>522</v>
      </c>
      <c r="G177" s="132" t="s">
        <v>183</v>
      </c>
      <c r="H177" s="133">
        <v>0.99</v>
      </c>
      <c r="I177" s="134"/>
      <c r="J177" s="135">
        <f>ROUND(I177*H177,2)</f>
        <v>0</v>
      </c>
      <c r="K177" s="131" t="s">
        <v>184</v>
      </c>
      <c r="L177" s="33"/>
      <c r="M177" s="136" t="s">
        <v>3</v>
      </c>
      <c r="N177" s="137" t="s">
        <v>48</v>
      </c>
      <c r="P177" s="138">
        <f>O177*H177</f>
        <v>0</v>
      </c>
      <c r="Q177" s="138">
        <v>0</v>
      </c>
      <c r="R177" s="138">
        <f>Q177*H177</f>
        <v>0</v>
      </c>
      <c r="S177" s="138">
        <v>0</v>
      </c>
      <c r="T177" s="139">
        <f>S177*H177</f>
        <v>0</v>
      </c>
      <c r="AR177" s="140" t="s">
        <v>185</v>
      </c>
      <c r="AT177" s="140" t="s">
        <v>180</v>
      </c>
      <c r="AU177" s="140" t="s">
        <v>87</v>
      </c>
      <c r="AY177" s="18" t="s">
        <v>177</v>
      </c>
      <c r="BE177" s="141">
        <f>IF(N177="základní",J177,0)</f>
        <v>0</v>
      </c>
      <c r="BF177" s="141">
        <f>IF(N177="snížená",J177,0)</f>
        <v>0</v>
      </c>
      <c r="BG177" s="141">
        <f>IF(N177="zákl. přenesená",J177,0)</f>
        <v>0</v>
      </c>
      <c r="BH177" s="141">
        <f>IF(N177="sníž. přenesená",J177,0)</f>
        <v>0</v>
      </c>
      <c r="BI177" s="141">
        <f>IF(N177="nulová",J177,0)</f>
        <v>0</v>
      </c>
      <c r="BJ177" s="18" t="s">
        <v>85</v>
      </c>
      <c r="BK177" s="141">
        <f>ROUND(I177*H177,2)</f>
        <v>0</v>
      </c>
      <c r="BL177" s="18" t="s">
        <v>185</v>
      </c>
      <c r="BM177" s="140" t="s">
        <v>1625</v>
      </c>
    </row>
    <row r="178" spans="2:47" s="1" customFormat="1" ht="39">
      <c r="B178" s="33"/>
      <c r="D178" s="142" t="s">
        <v>187</v>
      </c>
      <c r="F178" s="143" t="s">
        <v>524</v>
      </c>
      <c r="I178" s="144"/>
      <c r="L178" s="33"/>
      <c r="M178" s="145"/>
      <c r="T178" s="54"/>
      <c r="AT178" s="18" t="s">
        <v>187</v>
      </c>
      <c r="AU178" s="18" t="s">
        <v>87</v>
      </c>
    </row>
    <row r="179" spans="2:47" s="1" customFormat="1" ht="11.25">
      <c r="B179" s="33"/>
      <c r="D179" s="146" t="s">
        <v>189</v>
      </c>
      <c r="F179" s="147" t="s">
        <v>525</v>
      </c>
      <c r="I179" s="144"/>
      <c r="L179" s="33"/>
      <c r="M179" s="145"/>
      <c r="T179" s="54"/>
      <c r="AT179" s="18" t="s">
        <v>189</v>
      </c>
      <c r="AU179" s="18" t="s">
        <v>87</v>
      </c>
    </row>
    <row r="180" spans="2:47" s="1" customFormat="1" ht="87.75">
      <c r="B180" s="33"/>
      <c r="D180" s="142" t="s">
        <v>191</v>
      </c>
      <c r="F180" s="148" t="s">
        <v>526</v>
      </c>
      <c r="I180" s="144"/>
      <c r="L180" s="33"/>
      <c r="M180" s="145"/>
      <c r="T180" s="54"/>
      <c r="AT180" s="18" t="s">
        <v>191</v>
      </c>
      <c r="AU180" s="18" t="s">
        <v>87</v>
      </c>
    </row>
    <row r="181" spans="2:63" s="11" customFormat="1" ht="25.9" customHeight="1">
      <c r="B181" s="116"/>
      <c r="D181" s="117" t="s">
        <v>76</v>
      </c>
      <c r="E181" s="118" t="s">
        <v>229</v>
      </c>
      <c r="F181" s="118" t="s">
        <v>230</v>
      </c>
      <c r="I181" s="119"/>
      <c r="J181" s="120">
        <f>BK181</f>
        <v>0</v>
      </c>
      <c r="L181" s="116"/>
      <c r="M181" s="121"/>
      <c r="P181" s="122">
        <f>P182+P213</f>
        <v>0</v>
      </c>
      <c r="R181" s="122">
        <f>R182+R213</f>
        <v>0.770028441</v>
      </c>
      <c r="T181" s="123">
        <f>T182+T213</f>
        <v>0</v>
      </c>
      <c r="AR181" s="117" t="s">
        <v>87</v>
      </c>
      <c r="AT181" s="124" t="s">
        <v>76</v>
      </c>
      <c r="AU181" s="124" t="s">
        <v>77</v>
      </c>
      <c r="AY181" s="117" t="s">
        <v>177</v>
      </c>
      <c r="BK181" s="125">
        <f>BK182+BK213</f>
        <v>0</v>
      </c>
    </row>
    <row r="182" spans="2:63" s="11" customFormat="1" ht="22.9" customHeight="1">
      <c r="B182" s="116"/>
      <c r="D182" s="117" t="s">
        <v>76</v>
      </c>
      <c r="E182" s="126" t="s">
        <v>1322</v>
      </c>
      <c r="F182" s="126" t="s">
        <v>1323</v>
      </c>
      <c r="I182" s="119"/>
      <c r="J182" s="127">
        <f>BK182</f>
        <v>0</v>
      </c>
      <c r="L182" s="116"/>
      <c r="M182" s="121"/>
      <c r="P182" s="122">
        <f>SUM(P183:P212)</f>
        <v>0</v>
      </c>
      <c r="R182" s="122">
        <f>SUM(R183:R212)</f>
        <v>0.764759</v>
      </c>
      <c r="T182" s="123">
        <f>SUM(T183:T212)</f>
        <v>0</v>
      </c>
      <c r="AR182" s="117" t="s">
        <v>87</v>
      </c>
      <c r="AT182" s="124" t="s">
        <v>76</v>
      </c>
      <c r="AU182" s="124" t="s">
        <v>85</v>
      </c>
      <c r="AY182" s="117" t="s">
        <v>177</v>
      </c>
      <c r="BK182" s="125">
        <f>SUM(BK183:BK212)</f>
        <v>0</v>
      </c>
    </row>
    <row r="183" spans="2:65" s="1" customFormat="1" ht="24.2" customHeight="1">
      <c r="B183" s="128"/>
      <c r="C183" s="129" t="s">
        <v>461</v>
      </c>
      <c r="D183" s="129" t="s">
        <v>180</v>
      </c>
      <c r="E183" s="130" t="s">
        <v>1626</v>
      </c>
      <c r="F183" s="131" t="s">
        <v>1627</v>
      </c>
      <c r="G183" s="132" t="s">
        <v>1628</v>
      </c>
      <c r="H183" s="133">
        <v>697</v>
      </c>
      <c r="I183" s="134"/>
      <c r="J183" s="135">
        <f>ROUND(I183*H183,2)</f>
        <v>0</v>
      </c>
      <c r="K183" s="131" t="s">
        <v>184</v>
      </c>
      <c r="L183" s="33"/>
      <c r="M183" s="136" t="s">
        <v>3</v>
      </c>
      <c r="N183" s="137" t="s">
        <v>48</v>
      </c>
      <c r="P183" s="138">
        <f>O183*H183</f>
        <v>0</v>
      </c>
      <c r="Q183" s="138">
        <v>4.7E-05</v>
      </c>
      <c r="R183" s="138">
        <f>Q183*H183</f>
        <v>0.032758999999999996</v>
      </c>
      <c r="S183" s="138">
        <v>0</v>
      </c>
      <c r="T183" s="139">
        <f>S183*H183</f>
        <v>0</v>
      </c>
      <c r="AR183" s="140" t="s">
        <v>237</v>
      </c>
      <c r="AT183" s="140" t="s">
        <v>180</v>
      </c>
      <c r="AU183" s="140" t="s">
        <v>87</v>
      </c>
      <c r="AY183" s="18" t="s">
        <v>177</v>
      </c>
      <c r="BE183" s="141">
        <f>IF(N183="základní",J183,0)</f>
        <v>0</v>
      </c>
      <c r="BF183" s="141">
        <f>IF(N183="snížená",J183,0)</f>
        <v>0</v>
      </c>
      <c r="BG183" s="141">
        <f>IF(N183="zákl. přenesená",J183,0)</f>
        <v>0</v>
      </c>
      <c r="BH183" s="141">
        <f>IF(N183="sníž. přenesená",J183,0)</f>
        <v>0</v>
      </c>
      <c r="BI183" s="141">
        <f>IF(N183="nulová",J183,0)</f>
        <v>0</v>
      </c>
      <c r="BJ183" s="18" t="s">
        <v>85</v>
      </c>
      <c r="BK183" s="141">
        <f>ROUND(I183*H183,2)</f>
        <v>0</v>
      </c>
      <c r="BL183" s="18" t="s">
        <v>237</v>
      </c>
      <c r="BM183" s="140" t="s">
        <v>1629</v>
      </c>
    </row>
    <row r="184" spans="2:47" s="1" customFormat="1" ht="19.5">
      <c r="B184" s="33"/>
      <c r="D184" s="142" t="s">
        <v>187</v>
      </c>
      <c r="F184" s="143" t="s">
        <v>1630</v>
      </c>
      <c r="I184" s="144"/>
      <c r="L184" s="33"/>
      <c r="M184" s="145"/>
      <c r="T184" s="54"/>
      <c r="AT184" s="18" t="s">
        <v>187</v>
      </c>
      <c r="AU184" s="18" t="s">
        <v>87</v>
      </c>
    </row>
    <row r="185" spans="2:47" s="1" customFormat="1" ht="11.25">
      <c r="B185" s="33"/>
      <c r="D185" s="146" t="s">
        <v>189</v>
      </c>
      <c r="F185" s="147" t="s">
        <v>1631</v>
      </c>
      <c r="I185" s="144"/>
      <c r="L185" s="33"/>
      <c r="M185" s="145"/>
      <c r="T185" s="54"/>
      <c r="AT185" s="18" t="s">
        <v>189</v>
      </c>
      <c r="AU185" s="18" t="s">
        <v>87</v>
      </c>
    </row>
    <row r="186" spans="2:47" s="1" customFormat="1" ht="39">
      <c r="B186" s="33"/>
      <c r="D186" s="142" t="s">
        <v>191</v>
      </c>
      <c r="F186" s="148" t="s">
        <v>1632</v>
      </c>
      <c r="I186" s="144"/>
      <c r="L186" s="33"/>
      <c r="M186" s="145"/>
      <c r="T186" s="54"/>
      <c r="AT186" s="18" t="s">
        <v>191</v>
      </c>
      <c r="AU186" s="18" t="s">
        <v>87</v>
      </c>
    </row>
    <row r="187" spans="2:51" s="12" customFormat="1" ht="11.25">
      <c r="B187" s="149"/>
      <c r="D187" s="142" t="s">
        <v>193</v>
      </c>
      <c r="E187" s="150" t="s">
        <v>3</v>
      </c>
      <c r="F187" s="151" t="s">
        <v>1633</v>
      </c>
      <c r="H187" s="152">
        <v>697</v>
      </c>
      <c r="I187" s="153"/>
      <c r="L187" s="149"/>
      <c r="M187" s="154"/>
      <c r="T187" s="155"/>
      <c r="AT187" s="150" t="s">
        <v>193</v>
      </c>
      <c r="AU187" s="150" t="s">
        <v>87</v>
      </c>
      <c r="AV187" s="12" t="s">
        <v>87</v>
      </c>
      <c r="AW187" s="12" t="s">
        <v>36</v>
      </c>
      <c r="AX187" s="12" t="s">
        <v>85</v>
      </c>
      <c r="AY187" s="150" t="s">
        <v>177</v>
      </c>
    </row>
    <row r="188" spans="2:65" s="1" customFormat="1" ht="21.75" customHeight="1">
      <c r="B188" s="128"/>
      <c r="C188" s="179" t="s">
        <v>467</v>
      </c>
      <c r="D188" s="179" t="s">
        <v>484</v>
      </c>
      <c r="E188" s="180" t="s">
        <v>1634</v>
      </c>
      <c r="F188" s="181" t="s">
        <v>1635</v>
      </c>
      <c r="G188" s="182" t="s">
        <v>183</v>
      </c>
      <c r="H188" s="183">
        <v>0.16</v>
      </c>
      <c r="I188" s="184"/>
      <c r="J188" s="185">
        <f>ROUND(I188*H188,2)</f>
        <v>0</v>
      </c>
      <c r="K188" s="181" t="s">
        <v>184</v>
      </c>
      <c r="L188" s="186"/>
      <c r="M188" s="187" t="s">
        <v>3</v>
      </c>
      <c r="N188" s="188" t="s">
        <v>48</v>
      </c>
      <c r="P188" s="138">
        <f>O188*H188</f>
        <v>0</v>
      </c>
      <c r="Q188" s="138">
        <v>1</v>
      </c>
      <c r="R188" s="138">
        <f>Q188*H188</f>
        <v>0.16</v>
      </c>
      <c r="S188" s="138">
        <v>0</v>
      </c>
      <c r="T188" s="139">
        <f>S188*H188</f>
        <v>0</v>
      </c>
      <c r="AR188" s="140" t="s">
        <v>537</v>
      </c>
      <c r="AT188" s="140" t="s">
        <v>484</v>
      </c>
      <c r="AU188" s="140" t="s">
        <v>87</v>
      </c>
      <c r="AY188" s="18" t="s">
        <v>177</v>
      </c>
      <c r="BE188" s="141">
        <f>IF(N188="základní",J188,0)</f>
        <v>0</v>
      </c>
      <c r="BF188" s="141">
        <f>IF(N188="snížená",J188,0)</f>
        <v>0</v>
      </c>
      <c r="BG188" s="141">
        <f>IF(N188="zákl. přenesená",J188,0)</f>
        <v>0</v>
      </c>
      <c r="BH188" s="141">
        <f>IF(N188="sníž. přenesená",J188,0)</f>
        <v>0</v>
      </c>
      <c r="BI188" s="141">
        <f>IF(N188="nulová",J188,0)</f>
        <v>0</v>
      </c>
      <c r="BJ188" s="18" t="s">
        <v>85</v>
      </c>
      <c r="BK188" s="141">
        <f>ROUND(I188*H188,2)</f>
        <v>0</v>
      </c>
      <c r="BL188" s="18" t="s">
        <v>237</v>
      </c>
      <c r="BM188" s="140" t="s">
        <v>1636</v>
      </c>
    </row>
    <row r="189" spans="2:47" s="1" customFormat="1" ht="11.25">
      <c r="B189" s="33"/>
      <c r="D189" s="142" t="s">
        <v>187</v>
      </c>
      <c r="F189" s="143" t="s">
        <v>1637</v>
      </c>
      <c r="I189" s="144"/>
      <c r="L189" s="33"/>
      <c r="M189" s="145"/>
      <c r="T189" s="54"/>
      <c r="AT189" s="18" t="s">
        <v>187</v>
      </c>
      <c r="AU189" s="18" t="s">
        <v>87</v>
      </c>
    </row>
    <row r="190" spans="2:51" s="12" customFormat="1" ht="11.25">
      <c r="B190" s="149"/>
      <c r="D190" s="142" t="s">
        <v>193</v>
      </c>
      <c r="E190" s="150" t="s">
        <v>3</v>
      </c>
      <c r="F190" s="151" t="s">
        <v>1638</v>
      </c>
      <c r="H190" s="152">
        <v>0.152</v>
      </c>
      <c r="I190" s="153"/>
      <c r="L190" s="149"/>
      <c r="M190" s="154"/>
      <c r="T190" s="155"/>
      <c r="AT190" s="150" t="s">
        <v>193</v>
      </c>
      <c r="AU190" s="150" t="s">
        <v>87</v>
      </c>
      <c r="AV190" s="12" t="s">
        <v>87</v>
      </c>
      <c r="AW190" s="12" t="s">
        <v>36</v>
      </c>
      <c r="AX190" s="12" t="s">
        <v>85</v>
      </c>
      <c r="AY190" s="150" t="s">
        <v>177</v>
      </c>
    </row>
    <row r="191" spans="2:51" s="12" customFormat="1" ht="11.25">
      <c r="B191" s="149"/>
      <c r="D191" s="142" t="s">
        <v>193</v>
      </c>
      <c r="F191" s="151" t="s">
        <v>1639</v>
      </c>
      <c r="H191" s="152">
        <v>0.16</v>
      </c>
      <c r="I191" s="153"/>
      <c r="L191" s="149"/>
      <c r="M191" s="154"/>
      <c r="T191" s="155"/>
      <c r="AT191" s="150" t="s">
        <v>193</v>
      </c>
      <c r="AU191" s="150" t="s">
        <v>87</v>
      </c>
      <c r="AV191" s="12" t="s">
        <v>87</v>
      </c>
      <c r="AW191" s="12" t="s">
        <v>4</v>
      </c>
      <c r="AX191" s="12" t="s">
        <v>85</v>
      </c>
      <c r="AY191" s="150" t="s">
        <v>177</v>
      </c>
    </row>
    <row r="192" spans="2:65" s="1" customFormat="1" ht="21.75" customHeight="1">
      <c r="B192" s="128"/>
      <c r="C192" s="179" t="s">
        <v>8</v>
      </c>
      <c r="D192" s="179" t="s">
        <v>484</v>
      </c>
      <c r="E192" s="180" t="s">
        <v>1640</v>
      </c>
      <c r="F192" s="181" t="s">
        <v>1641</v>
      </c>
      <c r="G192" s="182" t="s">
        <v>183</v>
      </c>
      <c r="H192" s="183">
        <v>0.572</v>
      </c>
      <c r="I192" s="184"/>
      <c r="J192" s="185">
        <f>ROUND(I192*H192,2)</f>
        <v>0</v>
      </c>
      <c r="K192" s="181" t="s">
        <v>184</v>
      </c>
      <c r="L192" s="186"/>
      <c r="M192" s="187" t="s">
        <v>3</v>
      </c>
      <c r="N192" s="188" t="s">
        <v>48</v>
      </c>
      <c r="P192" s="138">
        <f>O192*H192</f>
        <v>0</v>
      </c>
      <c r="Q192" s="138">
        <v>1</v>
      </c>
      <c r="R192" s="138">
        <f>Q192*H192</f>
        <v>0.572</v>
      </c>
      <c r="S192" s="138">
        <v>0</v>
      </c>
      <c r="T192" s="139">
        <f>S192*H192</f>
        <v>0</v>
      </c>
      <c r="AR192" s="140" t="s">
        <v>537</v>
      </c>
      <c r="AT192" s="140" t="s">
        <v>484</v>
      </c>
      <c r="AU192" s="140" t="s">
        <v>87</v>
      </c>
      <c r="AY192" s="18" t="s">
        <v>177</v>
      </c>
      <c r="BE192" s="141">
        <f>IF(N192="základní",J192,0)</f>
        <v>0</v>
      </c>
      <c r="BF192" s="141">
        <f>IF(N192="snížená",J192,0)</f>
        <v>0</v>
      </c>
      <c r="BG192" s="141">
        <f>IF(N192="zákl. přenesená",J192,0)</f>
        <v>0</v>
      </c>
      <c r="BH192" s="141">
        <f>IF(N192="sníž. přenesená",J192,0)</f>
        <v>0</v>
      </c>
      <c r="BI192" s="141">
        <f>IF(N192="nulová",J192,0)</f>
        <v>0</v>
      </c>
      <c r="BJ192" s="18" t="s">
        <v>85</v>
      </c>
      <c r="BK192" s="141">
        <f>ROUND(I192*H192,2)</f>
        <v>0</v>
      </c>
      <c r="BL192" s="18" t="s">
        <v>237</v>
      </c>
      <c r="BM192" s="140" t="s">
        <v>1642</v>
      </c>
    </row>
    <row r="193" spans="2:47" s="1" customFormat="1" ht="11.25">
      <c r="B193" s="33"/>
      <c r="D193" s="142" t="s">
        <v>187</v>
      </c>
      <c r="F193" s="143" t="s">
        <v>1643</v>
      </c>
      <c r="I193" s="144"/>
      <c r="L193" s="33"/>
      <c r="M193" s="145"/>
      <c r="T193" s="54"/>
      <c r="AT193" s="18" t="s">
        <v>187</v>
      </c>
      <c r="AU193" s="18" t="s">
        <v>87</v>
      </c>
    </row>
    <row r="194" spans="2:51" s="12" customFormat="1" ht="11.25">
      <c r="B194" s="149"/>
      <c r="D194" s="142" t="s">
        <v>193</v>
      </c>
      <c r="E194" s="150" t="s">
        <v>3</v>
      </c>
      <c r="F194" s="151" t="s">
        <v>1644</v>
      </c>
      <c r="H194" s="152">
        <v>0.545</v>
      </c>
      <c r="I194" s="153"/>
      <c r="L194" s="149"/>
      <c r="M194" s="154"/>
      <c r="T194" s="155"/>
      <c r="AT194" s="150" t="s">
        <v>193</v>
      </c>
      <c r="AU194" s="150" t="s">
        <v>87</v>
      </c>
      <c r="AV194" s="12" t="s">
        <v>87</v>
      </c>
      <c r="AW194" s="12" t="s">
        <v>36</v>
      </c>
      <c r="AX194" s="12" t="s">
        <v>85</v>
      </c>
      <c r="AY194" s="150" t="s">
        <v>177</v>
      </c>
    </row>
    <row r="195" spans="2:51" s="12" customFormat="1" ht="11.25">
      <c r="B195" s="149"/>
      <c r="D195" s="142" t="s">
        <v>193</v>
      </c>
      <c r="F195" s="151" t="s">
        <v>1645</v>
      </c>
      <c r="H195" s="152">
        <v>0.572</v>
      </c>
      <c r="I195" s="153"/>
      <c r="L195" s="149"/>
      <c r="M195" s="154"/>
      <c r="T195" s="155"/>
      <c r="AT195" s="150" t="s">
        <v>193</v>
      </c>
      <c r="AU195" s="150" t="s">
        <v>87</v>
      </c>
      <c r="AV195" s="12" t="s">
        <v>87</v>
      </c>
      <c r="AW195" s="12" t="s">
        <v>4</v>
      </c>
      <c r="AX195" s="12" t="s">
        <v>85</v>
      </c>
      <c r="AY195" s="150" t="s">
        <v>177</v>
      </c>
    </row>
    <row r="196" spans="2:65" s="1" customFormat="1" ht="24.2" customHeight="1">
      <c r="B196" s="128"/>
      <c r="C196" s="129" t="s">
        <v>483</v>
      </c>
      <c r="D196" s="129" t="s">
        <v>180</v>
      </c>
      <c r="E196" s="130" t="s">
        <v>1646</v>
      </c>
      <c r="F196" s="131" t="s">
        <v>1647</v>
      </c>
      <c r="G196" s="132" t="s">
        <v>183</v>
      </c>
      <c r="H196" s="133">
        <v>0.765</v>
      </c>
      <c r="I196" s="134"/>
      <c r="J196" s="135">
        <f>ROUND(I196*H196,2)</f>
        <v>0</v>
      </c>
      <c r="K196" s="131" t="s">
        <v>184</v>
      </c>
      <c r="L196" s="33"/>
      <c r="M196" s="136" t="s">
        <v>3</v>
      </c>
      <c r="N196" s="137" t="s">
        <v>48</v>
      </c>
      <c r="P196" s="138">
        <f>O196*H196</f>
        <v>0</v>
      </c>
      <c r="Q196" s="138">
        <v>0</v>
      </c>
      <c r="R196" s="138">
        <f>Q196*H196</f>
        <v>0</v>
      </c>
      <c r="S196" s="138">
        <v>0</v>
      </c>
      <c r="T196" s="139">
        <f>S196*H196</f>
        <v>0</v>
      </c>
      <c r="AR196" s="140" t="s">
        <v>237</v>
      </c>
      <c r="AT196" s="140" t="s">
        <v>180</v>
      </c>
      <c r="AU196" s="140" t="s">
        <v>87</v>
      </c>
      <c r="AY196" s="18" t="s">
        <v>177</v>
      </c>
      <c r="BE196" s="141">
        <f>IF(N196="základní",J196,0)</f>
        <v>0</v>
      </c>
      <c r="BF196" s="141">
        <f>IF(N196="snížená",J196,0)</f>
        <v>0</v>
      </c>
      <c r="BG196" s="141">
        <f>IF(N196="zákl. přenesená",J196,0)</f>
        <v>0</v>
      </c>
      <c r="BH196" s="141">
        <f>IF(N196="sníž. přenesená",J196,0)</f>
        <v>0</v>
      </c>
      <c r="BI196" s="141">
        <f>IF(N196="nulová",J196,0)</f>
        <v>0</v>
      </c>
      <c r="BJ196" s="18" t="s">
        <v>85</v>
      </c>
      <c r="BK196" s="141">
        <f>ROUND(I196*H196,2)</f>
        <v>0</v>
      </c>
      <c r="BL196" s="18" t="s">
        <v>237</v>
      </c>
      <c r="BM196" s="140" t="s">
        <v>1648</v>
      </c>
    </row>
    <row r="197" spans="2:47" s="1" customFormat="1" ht="29.25">
      <c r="B197" s="33"/>
      <c r="D197" s="142" t="s">
        <v>187</v>
      </c>
      <c r="F197" s="143" t="s">
        <v>1649</v>
      </c>
      <c r="I197" s="144"/>
      <c r="L197" s="33"/>
      <c r="M197" s="145"/>
      <c r="T197" s="54"/>
      <c r="AT197" s="18" t="s">
        <v>187</v>
      </c>
      <c r="AU197" s="18" t="s">
        <v>87</v>
      </c>
    </row>
    <row r="198" spans="2:47" s="1" customFormat="1" ht="11.25">
      <c r="B198" s="33"/>
      <c r="D198" s="146" t="s">
        <v>189</v>
      </c>
      <c r="F198" s="147" t="s">
        <v>1650</v>
      </c>
      <c r="I198" s="144"/>
      <c r="L198" s="33"/>
      <c r="M198" s="145"/>
      <c r="T198" s="54"/>
      <c r="AT198" s="18" t="s">
        <v>189</v>
      </c>
      <c r="AU198" s="18" t="s">
        <v>87</v>
      </c>
    </row>
    <row r="199" spans="2:47" s="1" customFormat="1" ht="126.75">
      <c r="B199" s="33"/>
      <c r="D199" s="142" t="s">
        <v>191</v>
      </c>
      <c r="F199" s="148" t="s">
        <v>1651</v>
      </c>
      <c r="I199" s="144"/>
      <c r="L199" s="33"/>
      <c r="M199" s="145"/>
      <c r="T199" s="54"/>
      <c r="AT199" s="18" t="s">
        <v>191</v>
      </c>
      <c r="AU199" s="18" t="s">
        <v>87</v>
      </c>
    </row>
    <row r="200" spans="2:65" s="1" customFormat="1" ht="24.2" customHeight="1">
      <c r="B200" s="128"/>
      <c r="C200" s="129" t="s">
        <v>490</v>
      </c>
      <c r="D200" s="129" t="s">
        <v>180</v>
      </c>
      <c r="E200" s="130" t="s">
        <v>1652</v>
      </c>
      <c r="F200" s="131" t="s">
        <v>1653</v>
      </c>
      <c r="G200" s="132" t="s">
        <v>183</v>
      </c>
      <c r="H200" s="133">
        <v>0.765</v>
      </c>
      <c r="I200" s="134"/>
      <c r="J200" s="135">
        <f>ROUND(I200*H200,2)</f>
        <v>0</v>
      </c>
      <c r="K200" s="131" t="s">
        <v>184</v>
      </c>
      <c r="L200" s="33"/>
      <c r="M200" s="136" t="s">
        <v>3</v>
      </c>
      <c r="N200" s="137" t="s">
        <v>48</v>
      </c>
      <c r="P200" s="138">
        <f>O200*H200</f>
        <v>0</v>
      </c>
      <c r="Q200" s="138">
        <v>0</v>
      </c>
      <c r="R200" s="138">
        <f>Q200*H200</f>
        <v>0</v>
      </c>
      <c r="S200" s="138">
        <v>0</v>
      </c>
      <c r="T200" s="139">
        <f>S200*H200</f>
        <v>0</v>
      </c>
      <c r="AR200" s="140" t="s">
        <v>237</v>
      </c>
      <c r="AT200" s="140" t="s">
        <v>180</v>
      </c>
      <c r="AU200" s="140" t="s">
        <v>87</v>
      </c>
      <c r="AY200" s="18" t="s">
        <v>177</v>
      </c>
      <c r="BE200" s="141">
        <f>IF(N200="základní",J200,0)</f>
        <v>0</v>
      </c>
      <c r="BF200" s="141">
        <f>IF(N200="snížená",J200,0)</f>
        <v>0</v>
      </c>
      <c r="BG200" s="141">
        <f>IF(N200="zákl. přenesená",J200,0)</f>
        <v>0</v>
      </c>
      <c r="BH200" s="141">
        <f>IF(N200="sníž. přenesená",J200,0)</f>
        <v>0</v>
      </c>
      <c r="BI200" s="141">
        <f>IF(N200="nulová",J200,0)</f>
        <v>0</v>
      </c>
      <c r="BJ200" s="18" t="s">
        <v>85</v>
      </c>
      <c r="BK200" s="141">
        <f>ROUND(I200*H200,2)</f>
        <v>0</v>
      </c>
      <c r="BL200" s="18" t="s">
        <v>237</v>
      </c>
      <c r="BM200" s="140" t="s">
        <v>1654</v>
      </c>
    </row>
    <row r="201" spans="2:47" s="1" customFormat="1" ht="29.25">
      <c r="B201" s="33"/>
      <c r="D201" s="142" t="s">
        <v>187</v>
      </c>
      <c r="F201" s="143" t="s">
        <v>1655</v>
      </c>
      <c r="I201" s="144"/>
      <c r="L201" s="33"/>
      <c r="M201" s="145"/>
      <c r="T201" s="54"/>
      <c r="AT201" s="18" t="s">
        <v>187</v>
      </c>
      <c r="AU201" s="18" t="s">
        <v>87</v>
      </c>
    </row>
    <row r="202" spans="2:47" s="1" customFormat="1" ht="11.25">
      <c r="B202" s="33"/>
      <c r="D202" s="146" t="s">
        <v>189</v>
      </c>
      <c r="F202" s="147" t="s">
        <v>1656</v>
      </c>
      <c r="I202" s="144"/>
      <c r="L202" s="33"/>
      <c r="M202" s="145"/>
      <c r="T202" s="54"/>
      <c r="AT202" s="18" t="s">
        <v>189</v>
      </c>
      <c r="AU202" s="18" t="s">
        <v>87</v>
      </c>
    </row>
    <row r="203" spans="2:47" s="1" customFormat="1" ht="126.75">
      <c r="B203" s="33"/>
      <c r="D203" s="142" t="s">
        <v>191</v>
      </c>
      <c r="F203" s="148" t="s">
        <v>1651</v>
      </c>
      <c r="I203" s="144"/>
      <c r="L203" s="33"/>
      <c r="M203" s="145"/>
      <c r="T203" s="54"/>
      <c r="AT203" s="18" t="s">
        <v>191</v>
      </c>
      <c r="AU203" s="18" t="s">
        <v>87</v>
      </c>
    </row>
    <row r="204" spans="2:65" s="1" customFormat="1" ht="16.5" customHeight="1">
      <c r="B204" s="128"/>
      <c r="C204" s="129" t="s">
        <v>496</v>
      </c>
      <c r="D204" s="129" t="s">
        <v>180</v>
      </c>
      <c r="E204" s="130" t="s">
        <v>1657</v>
      </c>
      <c r="F204" s="131" t="s">
        <v>1658</v>
      </c>
      <c r="G204" s="132" t="s">
        <v>236</v>
      </c>
      <c r="H204" s="133">
        <v>4</v>
      </c>
      <c r="I204" s="134"/>
      <c r="J204" s="135">
        <f>ROUND(I204*H204,2)</f>
        <v>0</v>
      </c>
      <c r="K204" s="131" t="s">
        <v>244</v>
      </c>
      <c r="L204" s="33"/>
      <c r="M204" s="136" t="s">
        <v>3</v>
      </c>
      <c r="N204" s="137" t="s">
        <v>48</v>
      </c>
      <c r="P204" s="138">
        <f>O204*H204</f>
        <v>0</v>
      </c>
      <c r="Q204" s="138">
        <v>0</v>
      </c>
      <c r="R204" s="138">
        <f>Q204*H204</f>
        <v>0</v>
      </c>
      <c r="S204" s="138">
        <v>0</v>
      </c>
      <c r="T204" s="139">
        <f>S204*H204</f>
        <v>0</v>
      </c>
      <c r="AR204" s="140" t="s">
        <v>237</v>
      </c>
      <c r="AT204" s="140" t="s">
        <v>180</v>
      </c>
      <c r="AU204" s="140" t="s">
        <v>87</v>
      </c>
      <c r="AY204" s="18" t="s">
        <v>177</v>
      </c>
      <c r="BE204" s="141">
        <f>IF(N204="základní",J204,0)</f>
        <v>0</v>
      </c>
      <c r="BF204" s="141">
        <f>IF(N204="snížená",J204,0)</f>
        <v>0</v>
      </c>
      <c r="BG204" s="141">
        <f>IF(N204="zákl. přenesená",J204,0)</f>
        <v>0</v>
      </c>
      <c r="BH204" s="141">
        <f>IF(N204="sníž. přenesená",J204,0)</f>
        <v>0</v>
      </c>
      <c r="BI204" s="141">
        <f>IF(N204="nulová",J204,0)</f>
        <v>0</v>
      </c>
      <c r="BJ204" s="18" t="s">
        <v>85</v>
      </c>
      <c r="BK204" s="141">
        <f>ROUND(I204*H204,2)</f>
        <v>0</v>
      </c>
      <c r="BL204" s="18" t="s">
        <v>237</v>
      </c>
      <c r="BM204" s="140" t="s">
        <v>1659</v>
      </c>
    </row>
    <row r="205" spans="2:47" s="1" customFormat="1" ht="11.25">
      <c r="B205" s="33"/>
      <c r="D205" s="142" t="s">
        <v>187</v>
      </c>
      <c r="F205" s="143" t="s">
        <v>1658</v>
      </c>
      <c r="I205" s="144"/>
      <c r="L205" s="33"/>
      <c r="M205" s="145"/>
      <c r="T205" s="54"/>
      <c r="AT205" s="18" t="s">
        <v>187</v>
      </c>
      <c r="AU205" s="18" t="s">
        <v>87</v>
      </c>
    </row>
    <row r="206" spans="2:51" s="13" customFormat="1" ht="33.75">
      <c r="B206" s="156"/>
      <c r="D206" s="142" t="s">
        <v>193</v>
      </c>
      <c r="E206" s="157" t="s">
        <v>3</v>
      </c>
      <c r="F206" s="158" t="s">
        <v>1660</v>
      </c>
      <c r="H206" s="157" t="s">
        <v>3</v>
      </c>
      <c r="I206" s="159"/>
      <c r="L206" s="156"/>
      <c r="M206" s="160"/>
      <c r="T206" s="161"/>
      <c r="AT206" s="157" t="s">
        <v>193</v>
      </c>
      <c r="AU206" s="157" t="s">
        <v>87</v>
      </c>
      <c r="AV206" s="13" t="s">
        <v>85</v>
      </c>
      <c r="AW206" s="13" t="s">
        <v>36</v>
      </c>
      <c r="AX206" s="13" t="s">
        <v>77</v>
      </c>
      <c r="AY206" s="157" t="s">
        <v>177</v>
      </c>
    </row>
    <row r="207" spans="2:51" s="13" customFormat="1" ht="11.25">
      <c r="B207" s="156"/>
      <c r="D207" s="142" t="s">
        <v>193</v>
      </c>
      <c r="E207" s="157" t="s">
        <v>3</v>
      </c>
      <c r="F207" s="158" t="s">
        <v>1661</v>
      </c>
      <c r="H207" s="157" t="s">
        <v>3</v>
      </c>
      <c r="I207" s="159"/>
      <c r="L207" s="156"/>
      <c r="M207" s="160"/>
      <c r="T207" s="161"/>
      <c r="AT207" s="157" t="s">
        <v>193</v>
      </c>
      <c r="AU207" s="157" t="s">
        <v>87</v>
      </c>
      <c r="AV207" s="13" t="s">
        <v>85</v>
      </c>
      <c r="AW207" s="13" t="s">
        <v>36</v>
      </c>
      <c r="AX207" s="13" t="s">
        <v>77</v>
      </c>
      <c r="AY207" s="157" t="s">
        <v>177</v>
      </c>
    </row>
    <row r="208" spans="2:51" s="12" customFormat="1" ht="11.25">
      <c r="B208" s="149"/>
      <c r="D208" s="142" t="s">
        <v>193</v>
      </c>
      <c r="E208" s="150" t="s">
        <v>3</v>
      </c>
      <c r="F208" s="151" t="s">
        <v>185</v>
      </c>
      <c r="H208" s="152">
        <v>4</v>
      </c>
      <c r="I208" s="153"/>
      <c r="L208" s="149"/>
      <c r="M208" s="154"/>
      <c r="T208" s="155"/>
      <c r="AT208" s="150" t="s">
        <v>193</v>
      </c>
      <c r="AU208" s="150" t="s">
        <v>87</v>
      </c>
      <c r="AV208" s="12" t="s">
        <v>87</v>
      </c>
      <c r="AW208" s="12" t="s">
        <v>36</v>
      </c>
      <c r="AX208" s="12" t="s">
        <v>85</v>
      </c>
      <c r="AY208" s="150" t="s">
        <v>177</v>
      </c>
    </row>
    <row r="209" spans="2:65" s="1" customFormat="1" ht="21.75" customHeight="1">
      <c r="B209" s="128"/>
      <c r="C209" s="129" t="s">
        <v>502</v>
      </c>
      <c r="D209" s="129" t="s">
        <v>180</v>
      </c>
      <c r="E209" s="130" t="s">
        <v>1662</v>
      </c>
      <c r="F209" s="131" t="s">
        <v>1663</v>
      </c>
      <c r="G209" s="132" t="s">
        <v>243</v>
      </c>
      <c r="H209" s="133">
        <v>2</v>
      </c>
      <c r="I209" s="134"/>
      <c r="J209" s="135">
        <f>ROUND(I209*H209,2)</f>
        <v>0</v>
      </c>
      <c r="K209" s="131" t="s">
        <v>244</v>
      </c>
      <c r="L209" s="33"/>
      <c r="M209" s="136" t="s">
        <v>3</v>
      </c>
      <c r="N209" s="137" t="s">
        <v>48</v>
      </c>
      <c r="P209" s="138">
        <f>O209*H209</f>
        <v>0</v>
      </c>
      <c r="Q209" s="138">
        <v>0</v>
      </c>
      <c r="R209" s="138">
        <f>Q209*H209</f>
        <v>0</v>
      </c>
      <c r="S209" s="138">
        <v>0</v>
      </c>
      <c r="T209" s="139">
        <f>S209*H209</f>
        <v>0</v>
      </c>
      <c r="AR209" s="140" t="s">
        <v>237</v>
      </c>
      <c r="AT209" s="140" t="s">
        <v>180</v>
      </c>
      <c r="AU209" s="140" t="s">
        <v>87</v>
      </c>
      <c r="AY209" s="18" t="s">
        <v>177</v>
      </c>
      <c r="BE209" s="141">
        <f>IF(N209="základní",J209,0)</f>
        <v>0</v>
      </c>
      <c r="BF209" s="141">
        <f>IF(N209="snížená",J209,0)</f>
        <v>0</v>
      </c>
      <c r="BG209" s="141">
        <f>IF(N209="zákl. přenesená",J209,0)</f>
        <v>0</v>
      </c>
      <c r="BH209" s="141">
        <f>IF(N209="sníž. přenesená",J209,0)</f>
        <v>0</v>
      </c>
      <c r="BI209" s="141">
        <f>IF(N209="nulová",J209,0)</f>
        <v>0</v>
      </c>
      <c r="BJ209" s="18" t="s">
        <v>85</v>
      </c>
      <c r="BK209" s="141">
        <f>ROUND(I209*H209,2)</f>
        <v>0</v>
      </c>
      <c r="BL209" s="18" t="s">
        <v>237</v>
      </c>
      <c r="BM209" s="140" t="s">
        <v>1664</v>
      </c>
    </row>
    <row r="210" spans="2:47" s="1" customFormat="1" ht="11.25">
      <c r="B210" s="33"/>
      <c r="D210" s="142" t="s">
        <v>187</v>
      </c>
      <c r="F210" s="143" t="s">
        <v>1663</v>
      </c>
      <c r="I210" s="144"/>
      <c r="L210" s="33"/>
      <c r="M210" s="145"/>
      <c r="T210" s="54"/>
      <c r="AT210" s="18" t="s">
        <v>187</v>
      </c>
      <c r="AU210" s="18" t="s">
        <v>87</v>
      </c>
    </row>
    <row r="211" spans="2:51" s="13" customFormat="1" ht="33.75">
      <c r="B211" s="156"/>
      <c r="D211" s="142" t="s">
        <v>193</v>
      </c>
      <c r="E211" s="157" t="s">
        <v>3</v>
      </c>
      <c r="F211" s="158" t="s">
        <v>1665</v>
      </c>
      <c r="H211" s="157" t="s">
        <v>3</v>
      </c>
      <c r="I211" s="159"/>
      <c r="L211" s="156"/>
      <c r="M211" s="160"/>
      <c r="T211" s="161"/>
      <c r="AT211" s="157" t="s">
        <v>193</v>
      </c>
      <c r="AU211" s="157" t="s">
        <v>87</v>
      </c>
      <c r="AV211" s="13" t="s">
        <v>85</v>
      </c>
      <c r="AW211" s="13" t="s">
        <v>36</v>
      </c>
      <c r="AX211" s="13" t="s">
        <v>77</v>
      </c>
      <c r="AY211" s="157" t="s">
        <v>177</v>
      </c>
    </row>
    <row r="212" spans="2:51" s="12" customFormat="1" ht="11.25">
      <c r="B212" s="149"/>
      <c r="D212" s="142" t="s">
        <v>193</v>
      </c>
      <c r="E212" s="150" t="s">
        <v>3</v>
      </c>
      <c r="F212" s="151" t="s">
        <v>87</v>
      </c>
      <c r="H212" s="152">
        <v>2</v>
      </c>
      <c r="I212" s="153"/>
      <c r="L212" s="149"/>
      <c r="M212" s="154"/>
      <c r="T212" s="155"/>
      <c r="AT212" s="150" t="s">
        <v>193</v>
      </c>
      <c r="AU212" s="150" t="s">
        <v>87</v>
      </c>
      <c r="AV212" s="12" t="s">
        <v>87</v>
      </c>
      <c r="AW212" s="12" t="s">
        <v>36</v>
      </c>
      <c r="AX212" s="12" t="s">
        <v>85</v>
      </c>
      <c r="AY212" s="150" t="s">
        <v>177</v>
      </c>
    </row>
    <row r="213" spans="2:63" s="11" customFormat="1" ht="22.9" customHeight="1">
      <c r="B213" s="116"/>
      <c r="D213" s="117" t="s">
        <v>76</v>
      </c>
      <c r="E213" s="126" t="s">
        <v>1666</v>
      </c>
      <c r="F213" s="126" t="s">
        <v>1667</v>
      </c>
      <c r="I213" s="119"/>
      <c r="J213" s="127">
        <f>BK213</f>
        <v>0</v>
      </c>
      <c r="L213" s="116"/>
      <c r="M213" s="121"/>
      <c r="P213" s="122">
        <f>SUM(P214:P230)</f>
        <v>0</v>
      </c>
      <c r="R213" s="122">
        <f>SUM(R214:R230)</f>
        <v>0.005269441</v>
      </c>
      <c r="T213" s="123">
        <f>SUM(T214:T230)</f>
        <v>0</v>
      </c>
      <c r="AR213" s="117" t="s">
        <v>87</v>
      </c>
      <c r="AT213" s="124" t="s">
        <v>76</v>
      </c>
      <c r="AU213" s="124" t="s">
        <v>85</v>
      </c>
      <c r="AY213" s="117" t="s">
        <v>177</v>
      </c>
      <c r="BK213" s="125">
        <f>SUM(BK214:BK230)</f>
        <v>0</v>
      </c>
    </row>
    <row r="214" spans="2:65" s="1" customFormat="1" ht="16.5" customHeight="1">
      <c r="B214" s="128"/>
      <c r="C214" s="129" t="s">
        <v>504</v>
      </c>
      <c r="D214" s="129" t="s">
        <v>180</v>
      </c>
      <c r="E214" s="130" t="s">
        <v>1668</v>
      </c>
      <c r="F214" s="131" t="s">
        <v>1669</v>
      </c>
      <c r="G214" s="132" t="s">
        <v>332</v>
      </c>
      <c r="H214" s="133">
        <v>19.589</v>
      </c>
      <c r="I214" s="134"/>
      <c r="J214" s="135">
        <f>ROUND(I214*H214,2)</f>
        <v>0</v>
      </c>
      <c r="K214" s="131" t="s">
        <v>184</v>
      </c>
      <c r="L214" s="33"/>
      <c r="M214" s="136" t="s">
        <v>3</v>
      </c>
      <c r="N214" s="137" t="s">
        <v>48</v>
      </c>
      <c r="P214" s="138">
        <f>O214*H214</f>
        <v>0</v>
      </c>
      <c r="Q214" s="138">
        <v>6.7E-05</v>
      </c>
      <c r="R214" s="138">
        <f>Q214*H214</f>
        <v>0.001312463</v>
      </c>
      <c r="S214" s="138">
        <v>0</v>
      </c>
      <c r="T214" s="139">
        <f>S214*H214</f>
        <v>0</v>
      </c>
      <c r="AR214" s="140" t="s">
        <v>237</v>
      </c>
      <c r="AT214" s="140" t="s">
        <v>180</v>
      </c>
      <c r="AU214" s="140" t="s">
        <v>87</v>
      </c>
      <c r="AY214" s="18" t="s">
        <v>177</v>
      </c>
      <c r="BE214" s="141">
        <f>IF(N214="základní",J214,0)</f>
        <v>0</v>
      </c>
      <c r="BF214" s="141">
        <f>IF(N214="snížená",J214,0)</f>
        <v>0</v>
      </c>
      <c r="BG214" s="141">
        <f>IF(N214="zákl. přenesená",J214,0)</f>
        <v>0</v>
      </c>
      <c r="BH214" s="141">
        <f>IF(N214="sníž. přenesená",J214,0)</f>
        <v>0</v>
      </c>
      <c r="BI214" s="141">
        <f>IF(N214="nulová",J214,0)</f>
        <v>0</v>
      </c>
      <c r="BJ214" s="18" t="s">
        <v>85</v>
      </c>
      <c r="BK214" s="141">
        <f>ROUND(I214*H214,2)</f>
        <v>0</v>
      </c>
      <c r="BL214" s="18" t="s">
        <v>237</v>
      </c>
      <c r="BM214" s="140" t="s">
        <v>1670</v>
      </c>
    </row>
    <row r="215" spans="2:47" s="1" customFormat="1" ht="19.5">
      <c r="B215" s="33"/>
      <c r="D215" s="142" t="s">
        <v>187</v>
      </c>
      <c r="F215" s="143" t="s">
        <v>1671</v>
      </c>
      <c r="I215" s="144"/>
      <c r="L215" s="33"/>
      <c r="M215" s="145"/>
      <c r="T215" s="54"/>
      <c r="AT215" s="18" t="s">
        <v>187</v>
      </c>
      <c r="AU215" s="18" t="s">
        <v>87</v>
      </c>
    </row>
    <row r="216" spans="2:47" s="1" customFormat="1" ht="11.25">
      <c r="B216" s="33"/>
      <c r="D216" s="146" t="s">
        <v>189</v>
      </c>
      <c r="F216" s="147" t="s">
        <v>1672</v>
      </c>
      <c r="I216" s="144"/>
      <c r="L216" s="33"/>
      <c r="M216" s="145"/>
      <c r="T216" s="54"/>
      <c r="AT216" s="18" t="s">
        <v>189</v>
      </c>
      <c r="AU216" s="18" t="s">
        <v>87</v>
      </c>
    </row>
    <row r="217" spans="2:65" s="1" customFormat="1" ht="24.2" customHeight="1">
      <c r="B217" s="128"/>
      <c r="C217" s="129" t="s">
        <v>507</v>
      </c>
      <c r="D217" s="129" t="s">
        <v>180</v>
      </c>
      <c r="E217" s="130" t="s">
        <v>1673</v>
      </c>
      <c r="F217" s="131" t="s">
        <v>1674</v>
      </c>
      <c r="G217" s="132" t="s">
        <v>332</v>
      </c>
      <c r="H217" s="133">
        <v>19.589</v>
      </c>
      <c r="I217" s="134"/>
      <c r="J217" s="135">
        <f>ROUND(I217*H217,2)</f>
        <v>0</v>
      </c>
      <c r="K217" s="131" t="s">
        <v>184</v>
      </c>
      <c r="L217" s="33"/>
      <c r="M217" s="136" t="s">
        <v>3</v>
      </c>
      <c r="N217" s="137" t="s">
        <v>48</v>
      </c>
      <c r="P217" s="138">
        <f>O217*H217</f>
        <v>0</v>
      </c>
      <c r="Q217" s="138">
        <v>6.7E-05</v>
      </c>
      <c r="R217" s="138">
        <f>Q217*H217</f>
        <v>0.001312463</v>
      </c>
      <c r="S217" s="138">
        <v>0</v>
      </c>
      <c r="T217" s="139">
        <f>S217*H217</f>
        <v>0</v>
      </c>
      <c r="AR217" s="140" t="s">
        <v>237</v>
      </c>
      <c r="AT217" s="140" t="s">
        <v>180</v>
      </c>
      <c r="AU217" s="140" t="s">
        <v>87</v>
      </c>
      <c r="AY217" s="18" t="s">
        <v>177</v>
      </c>
      <c r="BE217" s="141">
        <f>IF(N217="základní",J217,0)</f>
        <v>0</v>
      </c>
      <c r="BF217" s="141">
        <f>IF(N217="snížená",J217,0)</f>
        <v>0</v>
      </c>
      <c r="BG217" s="141">
        <f>IF(N217="zákl. přenesená",J217,0)</f>
        <v>0</v>
      </c>
      <c r="BH217" s="141">
        <f>IF(N217="sníž. přenesená",J217,0)</f>
        <v>0</v>
      </c>
      <c r="BI217" s="141">
        <f>IF(N217="nulová",J217,0)</f>
        <v>0</v>
      </c>
      <c r="BJ217" s="18" t="s">
        <v>85</v>
      </c>
      <c r="BK217" s="141">
        <f>ROUND(I217*H217,2)</f>
        <v>0</v>
      </c>
      <c r="BL217" s="18" t="s">
        <v>237</v>
      </c>
      <c r="BM217" s="140" t="s">
        <v>1675</v>
      </c>
    </row>
    <row r="218" spans="2:47" s="1" customFormat="1" ht="19.5">
      <c r="B218" s="33"/>
      <c r="D218" s="142" t="s">
        <v>187</v>
      </c>
      <c r="F218" s="143" t="s">
        <v>1676</v>
      </c>
      <c r="I218" s="144"/>
      <c r="L218" s="33"/>
      <c r="M218" s="145"/>
      <c r="T218" s="54"/>
      <c r="AT218" s="18" t="s">
        <v>187</v>
      </c>
      <c r="AU218" s="18" t="s">
        <v>87</v>
      </c>
    </row>
    <row r="219" spans="2:47" s="1" customFormat="1" ht="11.25">
      <c r="B219" s="33"/>
      <c r="D219" s="146" t="s">
        <v>189</v>
      </c>
      <c r="F219" s="147" t="s">
        <v>1677</v>
      </c>
      <c r="I219" s="144"/>
      <c r="L219" s="33"/>
      <c r="M219" s="145"/>
      <c r="T219" s="54"/>
      <c r="AT219" s="18" t="s">
        <v>189</v>
      </c>
      <c r="AU219" s="18" t="s">
        <v>87</v>
      </c>
    </row>
    <row r="220" spans="2:65" s="1" customFormat="1" ht="16.5" customHeight="1">
      <c r="B220" s="128"/>
      <c r="C220" s="129" t="s">
        <v>509</v>
      </c>
      <c r="D220" s="129" t="s">
        <v>180</v>
      </c>
      <c r="E220" s="130" t="s">
        <v>1678</v>
      </c>
      <c r="F220" s="131" t="s">
        <v>1679</v>
      </c>
      <c r="G220" s="132" t="s">
        <v>332</v>
      </c>
      <c r="H220" s="133">
        <v>19.589</v>
      </c>
      <c r="I220" s="134"/>
      <c r="J220" s="135">
        <f>ROUND(I220*H220,2)</f>
        <v>0</v>
      </c>
      <c r="K220" s="131" t="s">
        <v>184</v>
      </c>
      <c r="L220" s="33"/>
      <c r="M220" s="136" t="s">
        <v>3</v>
      </c>
      <c r="N220" s="137" t="s">
        <v>48</v>
      </c>
      <c r="P220" s="138">
        <f>O220*H220</f>
        <v>0</v>
      </c>
      <c r="Q220" s="138">
        <v>0</v>
      </c>
      <c r="R220" s="138">
        <f>Q220*H220</f>
        <v>0</v>
      </c>
      <c r="S220" s="138">
        <v>0</v>
      </c>
      <c r="T220" s="139">
        <f>S220*H220</f>
        <v>0</v>
      </c>
      <c r="AR220" s="140" t="s">
        <v>237</v>
      </c>
      <c r="AT220" s="140" t="s">
        <v>180</v>
      </c>
      <c r="AU220" s="140" t="s">
        <v>87</v>
      </c>
      <c r="AY220" s="18" t="s">
        <v>177</v>
      </c>
      <c r="BE220" s="141">
        <f>IF(N220="základní",J220,0)</f>
        <v>0</v>
      </c>
      <c r="BF220" s="141">
        <f>IF(N220="snížená",J220,0)</f>
        <v>0</v>
      </c>
      <c r="BG220" s="141">
        <f>IF(N220="zákl. přenesená",J220,0)</f>
        <v>0</v>
      </c>
      <c r="BH220" s="141">
        <f>IF(N220="sníž. přenesená",J220,0)</f>
        <v>0</v>
      </c>
      <c r="BI220" s="141">
        <f>IF(N220="nulová",J220,0)</f>
        <v>0</v>
      </c>
      <c r="BJ220" s="18" t="s">
        <v>85</v>
      </c>
      <c r="BK220" s="141">
        <f>ROUND(I220*H220,2)</f>
        <v>0</v>
      </c>
      <c r="BL220" s="18" t="s">
        <v>237</v>
      </c>
      <c r="BM220" s="140" t="s">
        <v>1680</v>
      </c>
    </row>
    <row r="221" spans="2:47" s="1" customFormat="1" ht="19.5">
      <c r="B221" s="33"/>
      <c r="D221" s="142" t="s">
        <v>187</v>
      </c>
      <c r="F221" s="143" t="s">
        <v>1681</v>
      </c>
      <c r="I221" s="144"/>
      <c r="L221" s="33"/>
      <c r="M221" s="145"/>
      <c r="T221" s="54"/>
      <c r="AT221" s="18" t="s">
        <v>187</v>
      </c>
      <c r="AU221" s="18" t="s">
        <v>87</v>
      </c>
    </row>
    <row r="222" spans="2:47" s="1" customFormat="1" ht="11.25">
      <c r="B222" s="33"/>
      <c r="D222" s="146" t="s">
        <v>189</v>
      </c>
      <c r="F222" s="147" t="s">
        <v>1682</v>
      </c>
      <c r="I222" s="144"/>
      <c r="L222" s="33"/>
      <c r="M222" s="145"/>
      <c r="T222" s="54"/>
      <c r="AT222" s="18" t="s">
        <v>189</v>
      </c>
      <c r="AU222" s="18" t="s">
        <v>87</v>
      </c>
    </row>
    <row r="223" spans="2:65" s="1" customFormat="1" ht="24.2" customHeight="1">
      <c r="B223" s="128"/>
      <c r="C223" s="129" t="s">
        <v>512</v>
      </c>
      <c r="D223" s="129" t="s">
        <v>180</v>
      </c>
      <c r="E223" s="130" t="s">
        <v>1683</v>
      </c>
      <c r="F223" s="131" t="s">
        <v>1684</v>
      </c>
      <c r="G223" s="132" t="s">
        <v>332</v>
      </c>
      <c r="H223" s="133">
        <v>19.589</v>
      </c>
      <c r="I223" s="134"/>
      <c r="J223" s="135">
        <f>ROUND(I223*H223,2)</f>
        <v>0</v>
      </c>
      <c r="K223" s="131" t="s">
        <v>184</v>
      </c>
      <c r="L223" s="33"/>
      <c r="M223" s="136" t="s">
        <v>3</v>
      </c>
      <c r="N223" s="137" t="s">
        <v>48</v>
      </c>
      <c r="P223" s="138">
        <f>O223*H223</f>
        <v>0</v>
      </c>
      <c r="Q223" s="138">
        <v>0.000135</v>
      </c>
      <c r="R223" s="138">
        <f>Q223*H223</f>
        <v>0.002644515</v>
      </c>
      <c r="S223" s="138">
        <v>0</v>
      </c>
      <c r="T223" s="139">
        <f>S223*H223</f>
        <v>0</v>
      </c>
      <c r="AR223" s="140" t="s">
        <v>237</v>
      </c>
      <c r="AT223" s="140" t="s">
        <v>180</v>
      </c>
      <c r="AU223" s="140" t="s">
        <v>87</v>
      </c>
      <c r="AY223" s="18" t="s">
        <v>177</v>
      </c>
      <c r="BE223" s="141">
        <f>IF(N223="základní",J223,0)</f>
        <v>0</v>
      </c>
      <c r="BF223" s="141">
        <f>IF(N223="snížená",J223,0)</f>
        <v>0</v>
      </c>
      <c r="BG223" s="141">
        <f>IF(N223="zákl. přenesená",J223,0)</f>
        <v>0</v>
      </c>
      <c r="BH223" s="141">
        <f>IF(N223="sníž. přenesená",J223,0)</f>
        <v>0</v>
      </c>
      <c r="BI223" s="141">
        <f>IF(N223="nulová",J223,0)</f>
        <v>0</v>
      </c>
      <c r="BJ223" s="18" t="s">
        <v>85</v>
      </c>
      <c r="BK223" s="141">
        <f>ROUND(I223*H223,2)</f>
        <v>0</v>
      </c>
      <c r="BL223" s="18" t="s">
        <v>237</v>
      </c>
      <c r="BM223" s="140" t="s">
        <v>1685</v>
      </c>
    </row>
    <row r="224" spans="2:47" s="1" customFormat="1" ht="19.5">
      <c r="B224" s="33"/>
      <c r="D224" s="142" t="s">
        <v>187</v>
      </c>
      <c r="F224" s="143" t="s">
        <v>1686</v>
      </c>
      <c r="I224" s="144"/>
      <c r="L224" s="33"/>
      <c r="M224" s="145"/>
      <c r="T224" s="54"/>
      <c r="AT224" s="18" t="s">
        <v>187</v>
      </c>
      <c r="AU224" s="18" t="s">
        <v>87</v>
      </c>
    </row>
    <row r="225" spans="2:47" s="1" customFormat="1" ht="11.25">
      <c r="B225" s="33"/>
      <c r="D225" s="146" t="s">
        <v>189</v>
      </c>
      <c r="F225" s="147" t="s">
        <v>1687</v>
      </c>
      <c r="I225" s="144"/>
      <c r="L225" s="33"/>
      <c r="M225" s="145"/>
      <c r="T225" s="54"/>
      <c r="AT225" s="18" t="s">
        <v>189</v>
      </c>
      <c r="AU225" s="18" t="s">
        <v>87</v>
      </c>
    </row>
    <row r="226" spans="2:51" s="13" customFormat="1" ht="11.25">
      <c r="B226" s="156"/>
      <c r="D226" s="142" t="s">
        <v>193</v>
      </c>
      <c r="E226" s="157" t="s">
        <v>3</v>
      </c>
      <c r="F226" s="158" t="s">
        <v>1688</v>
      </c>
      <c r="H226" s="157" t="s">
        <v>3</v>
      </c>
      <c r="I226" s="159"/>
      <c r="L226" s="156"/>
      <c r="M226" s="160"/>
      <c r="T226" s="161"/>
      <c r="AT226" s="157" t="s">
        <v>193</v>
      </c>
      <c r="AU226" s="157" t="s">
        <v>87</v>
      </c>
      <c r="AV226" s="13" t="s">
        <v>85</v>
      </c>
      <c r="AW226" s="13" t="s">
        <v>36</v>
      </c>
      <c r="AX226" s="13" t="s">
        <v>77</v>
      </c>
      <c r="AY226" s="157" t="s">
        <v>177</v>
      </c>
    </row>
    <row r="227" spans="2:51" s="12" customFormat="1" ht="11.25">
      <c r="B227" s="149"/>
      <c r="D227" s="142" t="s">
        <v>193</v>
      </c>
      <c r="E227" s="150" t="s">
        <v>3</v>
      </c>
      <c r="F227" s="151" t="s">
        <v>1689</v>
      </c>
      <c r="H227" s="152">
        <v>5.981</v>
      </c>
      <c r="I227" s="153"/>
      <c r="L227" s="149"/>
      <c r="M227" s="154"/>
      <c r="T227" s="155"/>
      <c r="AT227" s="150" t="s">
        <v>193</v>
      </c>
      <c r="AU227" s="150" t="s">
        <v>87</v>
      </c>
      <c r="AV227" s="12" t="s">
        <v>87</v>
      </c>
      <c r="AW227" s="12" t="s">
        <v>36</v>
      </c>
      <c r="AX227" s="12" t="s">
        <v>77</v>
      </c>
      <c r="AY227" s="150" t="s">
        <v>177</v>
      </c>
    </row>
    <row r="228" spans="2:51" s="13" customFormat="1" ht="11.25">
      <c r="B228" s="156"/>
      <c r="D228" s="142" t="s">
        <v>193</v>
      </c>
      <c r="E228" s="157" t="s">
        <v>3</v>
      </c>
      <c r="F228" s="158" t="s">
        <v>1690</v>
      </c>
      <c r="H228" s="157" t="s">
        <v>3</v>
      </c>
      <c r="I228" s="159"/>
      <c r="L228" s="156"/>
      <c r="M228" s="160"/>
      <c r="T228" s="161"/>
      <c r="AT228" s="157" t="s">
        <v>193</v>
      </c>
      <c r="AU228" s="157" t="s">
        <v>87</v>
      </c>
      <c r="AV228" s="13" t="s">
        <v>85</v>
      </c>
      <c r="AW228" s="13" t="s">
        <v>36</v>
      </c>
      <c r="AX228" s="13" t="s">
        <v>77</v>
      </c>
      <c r="AY228" s="157" t="s">
        <v>177</v>
      </c>
    </row>
    <row r="229" spans="2:51" s="12" customFormat="1" ht="11.25">
      <c r="B229" s="149"/>
      <c r="D229" s="142" t="s">
        <v>193</v>
      </c>
      <c r="E229" s="150" t="s">
        <v>3</v>
      </c>
      <c r="F229" s="151" t="s">
        <v>1691</v>
      </c>
      <c r="H229" s="152">
        <v>13.608</v>
      </c>
      <c r="I229" s="153"/>
      <c r="L229" s="149"/>
      <c r="M229" s="154"/>
      <c r="T229" s="155"/>
      <c r="AT229" s="150" t="s">
        <v>193</v>
      </c>
      <c r="AU229" s="150" t="s">
        <v>87</v>
      </c>
      <c r="AV229" s="12" t="s">
        <v>87</v>
      </c>
      <c r="AW229" s="12" t="s">
        <v>36</v>
      </c>
      <c r="AX229" s="12" t="s">
        <v>77</v>
      </c>
      <c r="AY229" s="150" t="s">
        <v>177</v>
      </c>
    </row>
    <row r="230" spans="2:51" s="15" customFormat="1" ht="11.25">
      <c r="B230" s="169"/>
      <c r="D230" s="142" t="s">
        <v>193</v>
      </c>
      <c r="E230" s="170" t="s">
        <v>3</v>
      </c>
      <c r="F230" s="171" t="s">
        <v>201</v>
      </c>
      <c r="H230" s="172">
        <v>19.589</v>
      </c>
      <c r="I230" s="173"/>
      <c r="L230" s="169"/>
      <c r="M230" s="174"/>
      <c r="T230" s="175"/>
      <c r="AT230" s="170" t="s">
        <v>193</v>
      </c>
      <c r="AU230" s="170" t="s">
        <v>87</v>
      </c>
      <c r="AV230" s="15" t="s">
        <v>185</v>
      </c>
      <c r="AW230" s="15" t="s">
        <v>36</v>
      </c>
      <c r="AX230" s="15" t="s">
        <v>85</v>
      </c>
      <c r="AY230" s="170" t="s">
        <v>177</v>
      </c>
    </row>
    <row r="231" spans="2:63" s="11" customFormat="1" ht="25.9" customHeight="1">
      <c r="B231" s="116"/>
      <c r="D231" s="117" t="s">
        <v>76</v>
      </c>
      <c r="E231" s="118" t="s">
        <v>313</v>
      </c>
      <c r="F231" s="118" t="s">
        <v>314</v>
      </c>
      <c r="I231" s="119"/>
      <c r="J231" s="120">
        <f>BK231</f>
        <v>0</v>
      </c>
      <c r="L231" s="116"/>
      <c r="M231" s="121"/>
      <c r="P231" s="122">
        <f>SUM(P232:P234)</f>
        <v>0</v>
      </c>
      <c r="R231" s="122">
        <f>SUM(R232:R234)</f>
        <v>0</v>
      </c>
      <c r="T231" s="123">
        <f>SUM(T232:T234)</f>
        <v>0</v>
      </c>
      <c r="AR231" s="117" t="s">
        <v>185</v>
      </c>
      <c r="AT231" s="124" t="s">
        <v>76</v>
      </c>
      <c r="AU231" s="124" t="s">
        <v>77</v>
      </c>
      <c r="AY231" s="117" t="s">
        <v>177</v>
      </c>
      <c r="BK231" s="125">
        <f>SUM(BK232:BK234)</f>
        <v>0</v>
      </c>
    </row>
    <row r="232" spans="2:65" s="1" customFormat="1" ht="16.5" customHeight="1">
      <c r="B232" s="128"/>
      <c r="C232" s="129" t="s">
        <v>520</v>
      </c>
      <c r="D232" s="129" t="s">
        <v>180</v>
      </c>
      <c r="E232" s="130" t="s">
        <v>528</v>
      </c>
      <c r="F232" s="131" t="s">
        <v>529</v>
      </c>
      <c r="G232" s="132" t="s">
        <v>305</v>
      </c>
      <c r="H232" s="133">
        <v>50</v>
      </c>
      <c r="I232" s="134"/>
      <c r="J232" s="135">
        <f>ROUND(I232*H232,2)</f>
        <v>0</v>
      </c>
      <c r="K232" s="131" t="s">
        <v>184</v>
      </c>
      <c r="L232" s="33"/>
      <c r="M232" s="136" t="s">
        <v>3</v>
      </c>
      <c r="N232" s="137" t="s">
        <v>48</v>
      </c>
      <c r="P232" s="138">
        <f>O232*H232</f>
        <v>0</v>
      </c>
      <c r="Q232" s="138">
        <v>0</v>
      </c>
      <c r="R232" s="138">
        <f>Q232*H232</f>
        <v>0</v>
      </c>
      <c r="S232" s="138">
        <v>0</v>
      </c>
      <c r="T232" s="139">
        <f>S232*H232</f>
        <v>0</v>
      </c>
      <c r="AR232" s="140" t="s">
        <v>318</v>
      </c>
      <c r="AT232" s="140" t="s">
        <v>180</v>
      </c>
      <c r="AU232" s="140" t="s">
        <v>85</v>
      </c>
      <c r="AY232" s="18" t="s">
        <v>177</v>
      </c>
      <c r="BE232" s="141">
        <f>IF(N232="základní",J232,0)</f>
        <v>0</v>
      </c>
      <c r="BF232" s="141">
        <f>IF(N232="snížená",J232,0)</f>
        <v>0</v>
      </c>
      <c r="BG232" s="141">
        <f>IF(N232="zákl. přenesená",J232,0)</f>
        <v>0</v>
      </c>
      <c r="BH232" s="141">
        <f>IF(N232="sníž. přenesená",J232,0)</f>
        <v>0</v>
      </c>
      <c r="BI232" s="141">
        <f>IF(N232="nulová",J232,0)</f>
        <v>0</v>
      </c>
      <c r="BJ232" s="18" t="s">
        <v>85</v>
      </c>
      <c r="BK232" s="141">
        <f>ROUND(I232*H232,2)</f>
        <v>0</v>
      </c>
      <c r="BL232" s="18" t="s">
        <v>318</v>
      </c>
      <c r="BM232" s="140" t="s">
        <v>1692</v>
      </c>
    </row>
    <row r="233" spans="2:47" s="1" customFormat="1" ht="19.5">
      <c r="B233" s="33"/>
      <c r="D233" s="142" t="s">
        <v>187</v>
      </c>
      <c r="F233" s="143" t="s">
        <v>531</v>
      </c>
      <c r="I233" s="144"/>
      <c r="L233" s="33"/>
      <c r="M233" s="145"/>
      <c r="T233" s="54"/>
      <c r="AT233" s="18" t="s">
        <v>187</v>
      </c>
      <c r="AU233" s="18" t="s">
        <v>85</v>
      </c>
    </row>
    <row r="234" spans="2:47" s="1" customFormat="1" ht="11.25">
      <c r="B234" s="33"/>
      <c r="D234" s="146" t="s">
        <v>189</v>
      </c>
      <c r="F234" s="147" t="s">
        <v>532</v>
      </c>
      <c r="I234" s="144"/>
      <c r="L234" s="33"/>
      <c r="M234" s="189"/>
      <c r="N234" s="190"/>
      <c r="O234" s="190"/>
      <c r="P234" s="190"/>
      <c r="Q234" s="190"/>
      <c r="R234" s="190"/>
      <c r="S234" s="190"/>
      <c r="T234" s="191"/>
      <c r="AT234" s="18" t="s">
        <v>189</v>
      </c>
      <c r="AU234" s="18" t="s">
        <v>85</v>
      </c>
    </row>
    <row r="235" spans="2:12" s="1" customFormat="1" ht="6.95" customHeight="1">
      <c r="B235" s="42"/>
      <c r="C235" s="43"/>
      <c r="D235" s="43"/>
      <c r="E235" s="43"/>
      <c r="F235" s="43"/>
      <c r="G235" s="43"/>
      <c r="H235" s="43"/>
      <c r="I235" s="43"/>
      <c r="J235" s="43"/>
      <c r="K235" s="43"/>
      <c r="L235" s="33"/>
    </row>
  </sheetData>
  <autoFilter ref="C88:K234"/>
  <mergeCells count="9">
    <mergeCell ref="E50:H50"/>
    <mergeCell ref="E79:H79"/>
    <mergeCell ref="E81:H81"/>
    <mergeCell ref="L2:V2"/>
    <mergeCell ref="E7:H7"/>
    <mergeCell ref="E9:H9"/>
    <mergeCell ref="E18:H18"/>
    <mergeCell ref="E27:H27"/>
    <mergeCell ref="E48:H48"/>
  </mergeCells>
  <hyperlinks>
    <hyperlink ref="F99" r:id="rId1" display="https://podminky.urs.cz/item/CS_URS_2022_02/411351011"/>
    <hyperlink ref="F104" r:id="rId2" display="https://podminky.urs.cz/item/CS_URS_2022_02/411351012"/>
    <hyperlink ref="F108" r:id="rId3" display="https://podminky.urs.cz/item/CS_URS_2022_02/411354313"/>
    <hyperlink ref="F112" r:id="rId4" display="https://podminky.urs.cz/item/CS_URS_2022_02/411354314"/>
    <hyperlink ref="F117" r:id="rId5" display="https://podminky.urs.cz/item/CS_URS_2022_02/949101111"/>
    <hyperlink ref="F123" r:id="rId6" display="https://podminky.urs.cz/item/CS_URS_2022_02/952901111"/>
    <hyperlink ref="F127" r:id="rId7" display="https://podminky.urs.cz/item/CS_URS_2022_02/962031133"/>
    <hyperlink ref="F132" r:id="rId8" display="https://podminky.urs.cz/item/CS_URS_2022_02/963051113"/>
    <hyperlink ref="F137" r:id="rId9" display="https://podminky.urs.cz/item/CS_URS_2022_02/975053141"/>
    <hyperlink ref="F142" r:id="rId10" display="https://podminky.urs.cz/item/CS_URS_2022_02/975058141"/>
    <hyperlink ref="F146" r:id="rId11" display="https://podminky.urs.cz/item/CS_URS_2022_02/977211112"/>
    <hyperlink ref="F156" r:id="rId12" display="https://podminky.urs.cz/item/CS_URS_2022_02/997013213"/>
    <hyperlink ref="F160" r:id="rId13" display="https://podminky.urs.cz/item/CS_URS_2022_02/997013219"/>
    <hyperlink ref="F165" r:id="rId14" display="https://podminky.urs.cz/item/CS_URS_2022_02/997013501"/>
    <hyperlink ref="F169" r:id="rId15" display="https://podminky.urs.cz/item/CS_URS_2022_02/997013509"/>
    <hyperlink ref="F174" r:id="rId16" display="https://podminky.urs.cz/item/CS_URS_2022_02/997013871"/>
    <hyperlink ref="F179" r:id="rId17" display="https://podminky.urs.cz/item/CS_URS_2022_02/998018002"/>
    <hyperlink ref="F185" r:id="rId18" display="https://podminky.urs.cz/item/CS_URS_2022_02/767995116"/>
    <hyperlink ref="F198" r:id="rId19" display="https://podminky.urs.cz/item/CS_URS_2022_02/998767102"/>
    <hyperlink ref="F202" r:id="rId20" display="https://podminky.urs.cz/item/CS_URS_2022_02/998767181"/>
    <hyperlink ref="F216" r:id="rId21" display="https://podminky.urs.cz/item/CS_URS_2022_02/783301303"/>
    <hyperlink ref="F219" r:id="rId22" display="https://podminky.urs.cz/item/CS_URS_2022_02/783301313"/>
    <hyperlink ref="F222" r:id="rId23" display="https://podminky.urs.cz/item/CS_URS_2022_02/783301401"/>
    <hyperlink ref="F225" r:id="rId24" display="https://podminky.urs.cz/item/CS_URS_2022_02/783314203"/>
    <hyperlink ref="F234" r:id="rId25" display="https://podminky.urs.cz/item/CS_URS_2022_02/HZS129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PC-HP\Káťa</dc:creator>
  <cp:keywords/>
  <dc:description/>
  <cp:lastModifiedBy>Kateřina Tumpachová</cp:lastModifiedBy>
  <dcterms:created xsi:type="dcterms:W3CDTF">2024-02-02T10:32:04Z</dcterms:created>
  <dcterms:modified xsi:type="dcterms:W3CDTF">2024-02-02T10:36:22Z</dcterms:modified>
  <cp:category/>
  <cp:version/>
  <cp:contentType/>
  <cp:contentStatus/>
</cp:coreProperties>
</file>